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 activeTab="3"/>
  </bookViews>
  <sheets>
    <sheet name="Algandmed" sheetId="3" r:id="rId1"/>
    <sheet name="Maagaasi põletusseadmed" sheetId="13" r:id="rId2"/>
    <sheet name="HA-10 püüdeseadmetega" sheetId="20" r:id="rId3"/>
    <sheet name="Eriheitmete arvutus" sheetId="24" r:id="rId4"/>
    <sheet name="Kiirused" sheetId="4" r:id="rId5"/>
    <sheet name="Koond" sheetId="21" r:id="rId6"/>
    <sheet name="Naabrid" sheetId="19" r:id="rId7"/>
    <sheet name="Piirvääruse arvutus" sheetId="25" r:id="rId8"/>
  </sheets>
  <externalReferences>
    <externalReference r:id="rId9"/>
  </externalReferences>
  <definedNames>
    <definedName name="max" localSheetId="2">[1]lahustid!#REF!</definedName>
    <definedName name="max" localSheetId="7">[1]lahustid!#REF!</definedName>
    <definedName name="max">[1]lahustid!#REF!</definedName>
    <definedName name="para3" localSheetId="3">'Eriheitmete arvutus'!$A$1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0"/>
  <c r="X11" s="1"/>
  <c r="F27" i="25" l="1"/>
  <c r="F20"/>
  <c r="F13"/>
  <c r="K20"/>
  <c r="K13"/>
  <c r="B27"/>
  <c r="B20"/>
  <c r="B13"/>
  <c r="K5" i="3"/>
  <c r="K6"/>
  <c r="K4"/>
  <c r="K2"/>
  <c r="K7" l="1"/>
  <c r="B5" i="24" l="1"/>
  <c r="B4"/>
  <c r="B6"/>
  <c r="E4" i="4"/>
  <c r="I38" i="20" l="1"/>
  <c r="B38"/>
  <c r="I6"/>
  <c r="E6"/>
  <c r="I5"/>
  <c r="E5"/>
  <c r="I4"/>
  <c r="E4"/>
  <c r="H2"/>
  <c r="A1"/>
  <c r="I40" l="1"/>
  <c r="Y11" s="1"/>
  <c r="Z11" s="1"/>
  <c r="I28"/>
  <c r="E18"/>
  <c r="E16"/>
  <c r="I21"/>
  <c r="E26"/>
  <c r="E24"/>
  <c r="E23"/>
  <c r="E20"/>
  <c r="E19"/>
  <c r="E30"/>
  <c r="I3"/>
  <c r="I36" s="1"/>
  <c r="I37" s="1"/>
  <c r="J32" s="1"/>
  <c r="M32" s="1"/>
  <c r="E3"/>
  <c r="F16" s="1"/>
  <c r="I17"/>
  <c r="E29"/>
  <c r="I27"/>
  <c r="E17"/>
  <c r="I19"/>
  <c r="E25"/>
  <c r="L25" s="1"/>
  <c r="I16"/>
  <c r="E22"/>
  <c r="I24"/>
  <c r="E28"/>
  <c r="I30"/>
  <c r="I39"/>
  <c r="AA11" s="1"/>
  <c r="AB11" s="1"/>
  <c r="E21"/>
  <c r="E27"/>
  <c r="I29"/>
  <c r="I18"/>
  <c r="I23"/>
  <c r="I20"/>
  <c r="I26"/>
  <c r="I22"/>
  <c r="J1" i="13"/>
  <c r="F1"/>
  <c r="B1"/>
  <c r="J2"/>
  <c r="F2"/>
  <c r="B2"/>
  <c r="K4"/>
  <c r="K14" s="1"/>
  <c r="I9" i="21" s="1"/>
  <c r="K6" i="13"/>
  <c r="K5"/>
  <c r="G4"/>
  <c r="G9" s="1"/>
  <c r="G4" i="21" s="1"/>
  <c r="G6" i="13"/>
  <c r="G5"/>
  <c r="C6"/>
  <c r="L28" i="20" l="1"/>
  <c r="L29"/>
  <c r="L23"/>
  <c r="L16"/>
  <c r="C10" i="21" s="1"/>
  <c r="L21" i="20"/>
  <c r="C14" i="21" s="1"/>
  <c r="L19" i="20"/>
  <c r="C11" i="21"/>
  <c r="L17" i="20"/>
  <c r="L30"/>
  <c r="L18"/>
  <c r="C12" i="21" s="1"/>
  <c r="L27" i="20"/>
  <c r="L26"/>
  <c r="L20"/>
  <c r="C13" i="21" s="1"/>
  <c r="L22" i="20"/>
  <c r="C15" i="21" s="1"/>
  <c r="L24" i="20"/>
  <c r="C16" i="21" s="1"/>
  <c r="C17"/>
  <c r="D19"/>
  <c r="J17" i="20"/>
  <c r="J20"/>
  <c r="J21"/>
  <c r="J30"/>
  <c r="J19"/>
  <c r="J27"/>
  <c r="F18"/>
  <c r="F30"/>
  <c r="F25"/>
  <c r="M25" s="1"/>
  <c r="D17" i="21" s="1"/>
  <c r="F17" i="20"/>
  <c r="F26"/>
  <c r="F20"/>
  <c r="F23"/>
  <c r="J28"/>
  <c r="J29"/>
  <c r="J24"/>
  <c r="B36"/>
  <c r="B37" s="1"/>
  <c r="F31" s="1"/>
  <c r="M31" s="1"/>
  <c r="F27"/>
  <c r="F29"/>
  <c r="J18"/>
  <c r="J16"/>
  <c r="M16" s="1"/>
  <c r="D10" i="21" s="1"/>
  <c r="J26" i="20"/>
  <c r="J22"/>
  <c r="F19"/>
  <c r="F21"/>
  <c r="F28"/>
  <c r="J23"/>
  <c r="F22"/>
  <c r="F24"/>
  <c r="K15" i="13"/>
  <c r="K23"/>
  <c r="G10"/>
  <c r="G5" i="21" s="1"/>
  <c r="G11" i="13"/>
  <c r="G6" i="21" s="1"/>
  <c r="G28" i="13"/>
  <c r="G29"/>
  <c r="G30"/>
  <c r="G13"/>
  <c r="G8" i="21" s="1"/>
  <c r="K8" i="13"/>
  <c r="G18"/>
  <c r="G12" i="21" s="1"/>
  <c r="G26" i="13"/>
  <c r="G12"/>
  <c r="G7" i="21" s="1"/>
  <c r="G27" i="13"/>
  <c r="G19"/>
  <c r="G20"/>
  <c r="G13" i="21" s="1"/>
  <c r="G21" i="13"/>
  <c r="G14" i="21" s="1"/>
  <c r="K16" i="13"/>
  <c r="I10" i="21" s="1"/>
  <c r="K25" i="13"/>
  <c r="I17" i="21" s="1"/>
  <c r="K17" i="13"/>
  <c r="I11" i="21" s="1"/>
  <c r="K9" i="13"/>
  <c r="I4" i="21" s="1"/>
  <c r="K27" i="13"/>
  <c r="K19"/>
  <c r="K11"/>
  <c r="I6" i="21" s="1"/>
  <c r="K26" i="13"/>
  <c r="K10"/>
  <c r="I5" i="21" s="1"/>
  <c r="G22" i="13"/>
  <c r="G15" i="21" s="1"/>
  <c r="G14" i="13"/>
  <c r="G9" i="21" s="1"/>
  <c r="G8" i="13"/>
  <c r="G23"/>
  <c r="G15"/>
  <c r="K28"/>
  <c r="K20"/>
  <c r="I13" i="21" s="1"/>
  <c r="K12" i="13"/>
  <c r="I7" i="21" s="1"/>
  <c r="K24" i="13"/>
  <c r="I16" i="21" s="1"/>
  <c r="G24" i="13"/>
  <c r="G16" i="21" s="1"/>
  <c r="G16" i="13"/>
  <c r="G10" i="21" s="1"/>
  <c r="K29" i="13"/>
  <c r="K21"/>
  <c r="I14" i="21" s="1"/>
  <c r="K13" i="13"/>
  <c r="I8" i="21" s="1"/>
  <c r="K18" i="13"/>
  <c r="I12" i="21" s="1"/>
  <c r="G25" i="13"/>
  <c r="G17" i="21" s="1"/>
  <c r="G17" i="13"/>
  <c r="G11" i="21" s="1"/>
  <c r="K30" i="13"/>
  <c r="K22"/>
  <c r="I15" i="21" s="1"/>
  <c r="K3" i="13"/>
  <c r="G3"/>
  <c r="M22" i="20" l="1"/>
  <c r="D15" i="21" s="1"/>
  <c r="M19" i="20"/>
  <c r="M30"/>
  <c r="I11"/>
  <c r="F25" i="25" s="1"/>
  <c r="M24" i="20"/>
  <c r="D16" i="21" s="1"/>
  <c r="L16" s="1"/>
  <c r="M23" i="20"/>
  <c r="M18"/>
  <c r="D12" i="21" s="1"/>
  <c r="L12" s="1"/>
  <c r="M27" i="20"/>
  <c r="M17"/>
  <c r="D11" i="21" s="1"/>
  <c r="M21" i="20"/>
  <c r="D14" i="21" s="1"/>
  <c r="M29" i="20"/>
  <c r="M26"/>
  <c r="M28"/>
  <c r="M20"/>
  <c r="D13" i="21" s="1"/>
  <c r="I3"/>
  <c r="B25" i="25"/>
  <c r="G3" i="21"/>
  <c r="B18" i="25"/>
  <c r="D18" i="21"/>
  <c r="L18" s="1"/>
  <c r="K34" i="13"/>
  <c r="L13"/>
  <c r="J8" i="21" s="1"/>
  <c r="L21" i="13"/>
  <c r="J14" i="21" s="1"/>
  <c r="L29" i="13"/>
  <c r="L9"/>
  <c r="J4" i="21" s="1"/>
  <c r="L15" i="13"/>
  <c r="L14"/>
  <c r="J9" i="21" s="1"/>
  <c r="L12" i="13"/>
  <c r="J7" i="21" s="1"/>
  <c r="L20" i="13"/>
  <c r="J13" i="21" s="1"/>
  <c r="L28" i="13"/>
  <c r="L17"/>
  <c r="J11" i="21" s="1"/>
  <c r="L11" i="13"/>
  <c r="J6" i="21" s="1"/>
  <c r="L19" i="13"/>
  <c r="L27"/>
  <c r="K37"/>
  <c r="K38" s="1"/>
  <c r="L32" s="1"/>
  <c r="J19" i="21" s="1"/>
  <c r="L22" i="13"/>
  <c r="J15" i="21" s="1"/>
  <c r="L10" i="13"/>
  <c r="J5" i="21" s="1"/>
  <c r="L18" i="13"/>
  <c r="L26"/>
  <c r="L25"/>
  <c r="J17" i="21" s="1"/>
  <c r="L8" i="13"/>
  <c r="J3" i="21" s="1"/>
  <c r="L16" i="13"/>
  <c r="J10" i="21" s="1"/>
  <c r="L24" i="13"/>
  <c r="L23"/>
  <c r="L30"/>
  <c r="G37"/>
  <c r="G38" s="1"/>
  <c r="H32" s="1"/>
  <c r="H19" i="21" s="1"/>
  <c r="H16" i="13"/>
  <c r="H10" i="21" s="1"/>
  <c r="H24" i="13"/>
  <c r="H28"/>
  <c r="H10"/>
  <c r="H5" i="21" s="1"/>
  <c r="H9" i="13"/>
  <c r="H4" i="21" s="1"/>
  <c r="H15" i="13"/>
  <c r="H23"/>
  <c r="H8"/>
  <c r="H3" i="21" s="1"/>
  <c r="H20" i="13"/>
  <c r="H13" i="21" s="1"/>
  <c r="H18" i="13"/>
  <c r="H17"/>
  <c r="H11" i="21" s="1"/>
  <c r="H14" i="13"/>
  <c r="H9" i="21" s="1"/>
  <c r="H22" i="13"/>
  <c r="H15" i="21" s="1"/>
  <c r="H30" i="13"/>
  <c r="H13"/>
  <c r="H8" i="21" s="1"/>
  <c r="H21" i="13"/>
  <c r="H14" i="21" s="1"/>
  <c r="H11" i="13"/>
  <c r="H6" i="21" s="1"/>
  <c r="H25" i="13"/>
  <c r="H17" i="21" s="1"/>
  <c r="H29" i="13"/>
  <c r="H12"/>
  <c r="H7" i="21" s="1"/>
  <c r="H19" i="13"/>
  <c r="H27"/>
  <c r="H26"/>
  <c r="G34"/>
  <c r="C4" l="1"/>
  <c r="C14" s="1"/>
  <c r="E9" i="21" s="1"/>
  <c r="C5" i="13"/>
  <c r="F39" i="4"/>
  <c r="J41"/>
  <c r="E34"/>
  <c r="E36" s="1"/>
  <c r="E38" s="1"/>
  <c r="A34"/>
  <c r="E37"/>
  <c r="F16"/>
  <c r="F28"/>
  <c r="J30"/>
  <c r="E23"/>
  <c r="E1"/>
  <c r="E3" s="1"/>
  <c r="A23"/>
  <c r="B3" i="24" l="1"/>
  <c r="E5" i="4"/>
  <c r="B2" i="24" s="1"/>
  <c r="C20" s="1"/>
  <c r="C15" i="13"/>
  <c r="C8"/>
  <c r="E3" i="21" s="1"/>
  <c r="C23" i="13"/>
  <c r="C16"/>
  <c r="C17"/>
  <c r="C13"/>
  <c r="E8" i="21" s="1"/>
  <c r="C24" i="13"/>
  <c r="C25"/>
  <c r="C9"/>
  <c r="E4" i="21" s="1"/>
  <c r="C26" i="13"/>
  <c r="C18"/>
  <c r="C10"/>
  <c r="E5" i="21" s="1"/>
  <c r="C27" i="13"/>
  <c r="C19"/>
  <c r="C11"/>
  <c r="E6" i="21" s="1"/>
  <c r="C28" i="13"/>
  <c r="C20"/>
  <c r="C12"/>
  <c r="E7" i="21" s="1"/>
  <c r="C29" i="13"/>
  <c r="C21"/>
  <c r="C30"/>
  <c r="C22"/>
  <c r="E40" i="4"/>
  <c r="C24" i="24" l="1"/>
  <c r="E17" i="21"/>
  <c r="K17" s="1"/>
  <c r="E13"/>
  <c r="K13" s="1"/>
  <c r="E10"/>
  <c r="K10" s="1"/>
  <c r="E16"/>
  <c r="K16" s="1"/>
  <c r="E12"/>
  <c r="K12" s="1"/>
  <c r="E14"/>
  <c r="K14" s="1"/>
  <c r="E11"/>
  <c r="K11" s="1"/>
  <c r="K15"/>
  <c r="E15"/>
  <c r="E42" i="4"/>
  <c r="H6" i="3" s="1"/>
  <c r="B26" i="25"/>
  <c r="B29" s="1"/>
  <c r="B30" s="1"/>
  <c r="B11"/>
  <c r="C23" i="24"/>
  <c r="C22"/>
  <c r="C21"/>
  <c r="C26"/>
  <c r="C25"/>
  <c r="C3" i="13"/>
  <c r="C34" i="24" l="1"/>
  <c r="D34" s="1"/>
  <c r="F34" s="1"/>
  <c r="H12" i="20" s="1"/>
  <c r="I12" s="1"/>
  <c r="D10"/>
  <c r="E10" s="1"/>
  <c r="C33" i="24"/>
  <c r="D33" s="1"/>
  <c r="F33" s="1"/>
  <c r="H10" i="20" s="1"/>
  <c r="I10" s="1"/>
  <c r="D14"/>
  <c r="F14" s="1"/>
  <c r="C36" i="24"/>
  <c r="D36" s="1"/>
  <c r="F36" s="1"/>
  <c r="H14" i="20" s="1"/>
  <c r="I14" s="1"/>
  <c r="D13"/>
  <c r="F13" s="1"/>
  <c r="C35" i="24"/>
  <c r="D35" s="1"/>
  <c r="F35" s="1"/>
  <c r="H13" i="20" s="1"/>
  <c r="I13" s="1"/>
  <c r="C31" i="24"/>
  <c r="D31" s="1"/>
  <c r="F31" s="1"/>
  <c r="H8" i="20" s="1"/>
  <c r="I8" s="1"/>
  <c r="D11"/>
  <c r="F11" s="1"/>
  <c r="D9"/>
  <c r="F9" s="1"/>
  <c r="C32" i="24"/>
  <c r="D32" s="1"/>
  <c r="F32" s="1"/>
  <c r="H9" i="20" s="1"/>
  <c r="I9" s="1"/>
  <c r="D8"/>
  <c r="D12"/>
  <c r="F12" s="1"/>
  <c r="D30" i="13"/>
  <c r="D23"/>
  <c r="D14"/>
  <c r="F9" i="21" s="1"/>
  <c r="D8" i="13"/>
  <c r="F3" i="21" s="1"/>
  <c r="D18" i="13"/>
  <c r="D28"/>
  <c r="D29"/>
  <c r="D17"/>
  <c r="F11" i="21" s="1"/>
  <c r="L11" s="1"/>
  <c r="D11" i="13"/>
  <c r="F6" i="21" s="1"/>
  <c r="D9" i="13"/>
  <c r="F4" i="21" s="1"/>
  <c r="D27" i="13"/>
  <c r="D13"/>
  <c r="F8" i="21" s="1"/>
  <c r="D19" i="13"/>
  <c r="D20"/>
  <c r="F13" i="21" s="1"/>
  <c r="L13" s="1"/>
  <c r="D21" i="13"/>
  <c r="F14" i="21" s="1"/>
  <c r="L14" s="1"/>
  <c r="D22" i="13"/>
  <c r="F15" i="21" s="1"/>
  <c r="L15" s="1"/>
  <c r="D10" i="13"/>
  <c r="F5" i="21" s="1"/>
  <c r="D26" i="13"/>
  <c r="D12"/>
  <c r="F7" i="21" s="1"/>
  <c r="D15" i="13"/>
  <c r="D24"/>
  <c r="D16"/>
  <c r="F10" i="21" s="1"/>
  <c r="L10" s="1"/>
  <c r="D25" i="13"/>
  <c r="F17" i="21" s="1"/>
  <c r="L17" s="1"/>
  <c r="C34" i="13"/>
  <c r="C37"/>
  <c r="J9" i="20" l="1"/>
  <c r="J10"/>
  <c r="J12"/>
  <c r="L10"/>
  <c r="C5" i="21" s="1"/>
  <c r="K5" s="1"/>
  <c r="M10" i="19" s="1"/>
  <c r="M11" s="1"/>
  <c r="J13" i="20"/>
  <c r="J8"/>
  <c r="J14"/>
  <c r="F8"/>
  <c r="E12"/>
  <c r="F10"/>
  <c r="E11"/>
  <c r="E13"/>
  <c r="E9"/>
  <c r="E8"/>
  <c r="E14"/>
  <c r="F15"/>
  <c r="C38" i="13"/>
  <c r="D32" s="1"/>
  <c r="L8" i="21" l="1"/>
  <c r="M14" i="20"/>
  <c r="D9" i="21" s="1"/>
  <c r="L9" s="1"/>
  <c r="L7"/>
  <c r="M13" i="20"/>
  <c r="D8" i="21" s="1"/>
  <c r="M12" i="20"/>
  <c r="D7" i="21" s="1"/>
  <c r="K11" i="25"/>
  <c r="L8" i="20"/>
  <c r="C3" i="21" s="1"/>
  <c r="L14" i="20"/>
  <c r="C9" i="21" s="1"/>
  <c r="K9" s="1"/>
  <c r="L13" i="20"/>
  <c r="C8" i="21" s="1"/>
  <c r="K8" s="1"/>
  <c r="M10" i="20"/>
  <c r="D5" i="21" s="1"/>
  <c r="L5" s="1"/>
  <c r="L11" i="20"/>
  <c r="C6" i="21" s="1"/>
  <c r="J15" i="20"/>
  <c r="M15" s="1"/>
  <c r="M8"/>
  <c r="D3" i="21" s="1"/>
  <c r="L3" s="1"/>
  <c r="F18" i="25"/>
  <c r="L9" i="20"/>
  <c r="C4" i="21" s="1"/>
  <c r="K4" s="1"/>
  <c r="L10" i="19" s="1"/>
  <c r="L11" s="1"/>
  <c r="K18" i="25"/>
  <c r="L12" i="20"/>
  <c r="C7" i="21" s="1"/>
  <c r="K7" s="1"/>
  <c r="F11" i="25"/>
  <c r="F16" s="1"/>
  <c r="M9" i="20"/>
  <c r="D4" i="21" s="1"/>
  <c r="L4" s="1"/>
  <c r="F19"/>
  <c r="L19" s="1"/>
  <c r="E15" i="20"/>
  <c r="E26" i="4"/>
  <c r="E25"/>
  <c r="E14"/>
  <c r="K10" i="19" l="1"/>
  <c r="K11" s="1"/>
  <c r="K3" i="21"/>
  <c r="K6"/>
  <c r="N10" i="19" s="1"/>
  <c r="N11" s="1"/>
  <c r="I15" i="20"/>
  <c r="L15" s="1"/>
  <c r="E27" i="4"/>
  <c r="E29" s="1"/>
  <c r="E11"/>
  <c r="E31" l="1"/>
  <c r="H5" i="3" s="1"/>
  <c r="B19" i="25"/>
  <c r="B22" s="1"/>
  <c r="B23" s="1"/>
  <c r="J18" i="4"/>
  <c r="J8"/>
  <c r="F6"/>
  <c r="E13"/>
  <c r="E15" s="1"/>
  <c r="A11"/>
  <c r="A1"/>
  <c r="E17" l="1"/>
  <c r="B12" i="25" s="1"/>
  <c r="B15" s="1"/>
  <c r="B16" s="1"/>
  <c r="E7" i="4"/>
  <c r="F12" i="25" s="1"/>
  <c r="F19" l="1"/>
  <c r="F26"/>
  <c r="F30" s="1"/>
  <c r="E19" i="4"/>
  <c r="H4" i="3" s="1"/>
  <c r="E9" i="4"/>
  <c r="H2" i="3" s="1"/>
  <c r="K12" i="25" l="1"/>
  <c r="K16" s="1"/>
  <c r="F23"/>
  <c r="K19"/>
  <c r="K23" s="1"/>
  <c r="J11" i="20"/>
  <c r="M11" l="1"/>
  <c r="D6" i="21" s="1"/>
  <c r="L6" s="1"/>
</calcChain>
</file>

<file path=xl/comments1.xml><?xml version="1.0" encoding="utf-8"?>
<comments xmlns="http://schemas.openxmlformats.org/spreadsheetml/2006/main">
  <authors>
    <author>Ain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Ain:</t>
        </r>
        <r>
          <rPr>
            <sz val="9"/>
            <color indexed="81"/>
            <rFont val="Tahoma"/>
            <family val="2"/>
          </rPr>
          <t xml:space="preserve">
Väävlisisaldus kütuse tarbimisaines, massiprotsent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Ain:</t>
        </r>
        <r>
          <rPr>
            <sz val="9"/>
            <color indexed="81"/>
            <rFont val="Tahoma"/>
            <family val="2"/>
          </rPr>
          <t xml:space="preserve">
Väävlisisaldus kütuse tarbimisaines, massiprotsent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Ain:</t>
        </r>
        <r>
          <rPr>
            <sz val="9"/>
            <color indexed="81"/>
            <rFont val="Tahoma"/>
            <family val="2"/>
          </rPr>
          <t xml:space="preserve">
Väävlisisaldus kütuse tarbimisaines, massiprotsent</t>
        </r>
      </text>
    </comment>
  </commentList>
</comments>
</file>

<file path=xl/comments2.xml><?xml version="1.0" encoding="utf-8"?>
<comments xmlns="http://schemas.openxmlformats.org/spreadsheetml/2006/main">
  <authors>
    <author>Kasutaja</author>
  </authors>
  <commentList>
    <comment ref="H11" authorId="0">
      <text>
        <r>
          <rPr>
            <b/>
            <sz val="9"/>
            <color indexed="81"/>
            <rFont val="Segoe UI"/>
            <family val="2"/>
          </rPr>
          <t>Kasutaja:</t>
        </r>
        <r>
          <rPr>
            <sz val="9"/>
            <color indexed="81"/>
            <rFont val="Segoe UI"/>
            <family val="2"/>
          </rPr>
          <t xml:space="preserve">
arvutatav kütuse väävlisisalduse
järgi, sidumist tuhaga ei arvestata</t>
        </r>
      </text>
    </comment>
  </commentList>
</comments>
</file>

<file path=xl/sharedStrings.xml><?xml version="1.0" encoding="utf-8"?>
<sst xmlns="http://schemas.openxmlformats.org/spreadsheetml/2006/main" count="495" uniqueCount="208">
  <si>
    <t>SO2</t>
  </si>
  <si>
    <t>Plii</t>
  </si>
  <si>
    <t>Arseen</t>
  </si>
  <si>
    <t>Kroom</t>
  </si>
  <si>
    <t>Nikkel</t>
  </si>
  <si>
    <t>B1=</t>
  </si>
  <si>
    <t>[GJ]</t>
  </si>
  <si>
    <t>Soojussisendile vastav võimsus</t>
  </si>
  <si>
    <t>MW</t>
  </si>
  <si>
    <t>CAS</t>
  </si>
  <si>
    <t>Saasteaine</t>
  </si>
  <si>
    <t>Saasteaine eriheite ühik</t>
  </si>
  <si>
    <t>Eriheide g/GJ metallidel mg/GJ</t>
  </si>
  <si>
    <t>Aastane heitkogus, t/a metllidel, kg/a</t>
  </si>
  <si>
    <t>Hetkeline heitkogus, g/s metallidel, mg/s</t>
  </si>
  <si>
    <t>10102-44-0</t>
  </si>
  <si>
    <t>Lämmastikdioksiid</t>
  </si>
  <si>
    <t>g/GJ</t>
  </si>
  <si>
    <t>630-08-0</t>
  </si>
  <si>
    <t>Süsinikoksiid</t>
  </si>
  <si>
    <t>NMHC</t>
  </si>
  <si>
    <t>7446-09-5</t>
  </si>
  <si>
    <t>Vääveldioksiid</t>
  </si>
  <si>
    <t>PMsum</t>
  </si>
  <si>
    <t>Osakesed</t>
  </si>
  <si>
    <t>PM10</t>
  </si>
  <si>
    <t>Peenosakesed</t>
  </si>
  <si>
    <t>PM2,5</t>
  </si>
  <si>
    <t>Eriti peened osakesed</t>
  </si>
  <si>
    <t>BC</t>
  </si>
  <si>
    <t>Must süsinik</t>
  </si>
  <si>
    <t>% PM2,5-st</t>
  </si>
  <si>
    <t>7439-92-1</t>
  </si>
  <si>
    <t>mg/GJ</t>
  </si>
  <si>
    <t>7440-43-9</t>
  </si>
  <si>
    <t>Kaadmium</t>
  </si>
  <si>
    <t>7439-97-9</t>
  </si>
  <si>
    <t>Elavhõbe</t>
  </si>
  <si>
    <t>7440-38-2</t>
  </si>
  <si>
    <t>7440-47-3</t>
  </si>
  <si>
    <t>7440-50-8</t>
  </si>
  <si>
    <t>Vask</t>
  </si>
  <si>
    <t>7440-02-0</t>
  </si>
  <si>
    <t>7440-66-6</t>
  </si>
  <si>
    <t>Tsink</t>
  </si>
  <si>
    <t>Polüklooritud dibenso-dioksiinid ja
dibensofuraanid (PCDD/PCDF)</t>
  </si>
  <si>
    <t>ng/GJ</t>
  </si>
  <si>
    <t>Benso(a)püreen</t>
  </si>
  <si>
    <t>µg/GJ</t>
  </si>
  <si>
    <t>Benso(b)fluoranteen</t>
  </si>
  <si>
    <t>Benso(k)fluoranteen</t>
  </si>
  <si>
    <t>Indeo(1,2,3-cd)püreen</t>
  </si>
  <si>
    <t>124-38-9</t>
  </si>
  <si>
    <t>qc</t>
  </si>
  <si>
    <t>tC/TJ</t>
  </si>
  <si>
    <t xml:space="preserve">Kc </t>
  </si>
  <si>
    <t>Mc = 10-3 x B1 x qc x Kc=</t>
  </si>
  <si>
    <t>Mco = Mc x 3.664</t>
  </si>
  <si>
    <t>t/a</t>
  </si>
  <si>
    <t>Heiteallika tähis</t>
  </si>
  <si>
    <t>Ava läbimôôt D, [m]</t>
  </si>
  <si>
    <t>Väljumiskôrgus maapinnast H, [m]</t>
  </si>
  <si>
    <t>Temperatuur T, ºC</t>
  </si>
  <si>
    <t>Joonkiirus,v [m/s]</t>
  </si>
  <si>
    <t>Kütuse kulu  t/a; tuhm3/a</t>
  </si>
  <si>
    <t>Töötunnid</t>
  </si>
  <si>
    <t>Kütuse alumine kütteväärtus, MJ/kg,; MJ/Nm3</t>
  </si>
  <si>
    <t>Kütuse alumine kütteväärtus, MJ/kg</t>
  </si>
  <si>
    <t>Seleen</t>
  </si>
  <si>
    <t>Väävlisisaldus</t>
  </si>
  <si>
    <t>%</t>
  </si>
  <si>
    <t>124-38-9-bio</t>
  </si>
  <si>
    <t>Süsinikdioksiid biomassist</t>
  </si>
  <si>
    <t>7782-49-2</t>
  </si>
  <si>
    <t>N=</t>
  </si>
  <si>
    <t>Arvestatakse, et kütuse kuivaine stöhhiomeetrilisel põlemisel tekkiv ligikaudne kogus kuivi suitsugaase energiaühiku kohta on 0,25 Nm3/MJ.</t>
  </si>
  <si>
    <t>V=</t>
  </si>
  <si>
    <t xml:space="preserve"> Nm3/s</t>
  </si>
  <si>
    <t>α=</t>
  </si>
  <si>
    <t>gaas ja vedelik - 3%, tahke - 6%</t>
  </si>
  <si>
    <t>Vg=</t>
  </si>
  <si>
    <t>Nm3/s</t>
  </si>
  <si>
    <t>Mahtkiirus temperatuuril :</t>
  </si>
  <si>
    <t>C</t>
  </si>
  <si>
    <t>Vt=</t>
  </si>
  <si>
    <t xml:space="preserve"> m3/s</t>
  </si>
  <si>
    <t>Leiame suitsugaaside joonkiiruse v kasutades valemit v = 4* ω / ( π * d2)</t>
  </si>
  <si>
    <t>D=</t>
  </si>
  <si>
    <t>m</t>
  </si>
  <si>
    <t>V0=</t>
  </si>
  <si>
    <t xml:space="preserve"> m/s</t>
  </si>
  <si>
    <t>Püütav saasteaine</t>
  </si>
  <si>
    <t>Puhastus %</t>
  </si>
  <si>
    <t>Kasutegur</t>
  </si>
  <si>
    <t>Soojussisendile vastav soojusvõimsus MWth</t>
  </si>
  <si>
    <t>Puiduhake</t>
  </si>
  <si>
    <t>PM2.5</t>
  </si>
  <si>
    <t>7664-41-7</t>
  </si>
  <si>
    <t>Ammoniaak</t>
  </si>
  <si>
    <t>MWth</t>
  </si>
  <si>
    <t>GJ</t>
  </si>
  <si>
    <t>Maagaas</t>
  </si>
  <si>
    <t>Tükkturvas</t>
  </si>
  <si>
    <t>HA-10</t>
  </si>
  <si>
    <t>HA-20</t>
  </si>
  <si>
    <t>HA-30</t>
  </si>
  <si>
    <t>HA-40</t>
  </si>
  <si>
    <t>Kütuse aastakulu, B  t/a või tuh m3/a</t>
  </si>
  <si>
    <t>MJ/kg</t>
  </si>
  <si>
    <t>tuh m3/a</t>
  </si>
  <si>
    <t xml:space="preserve">Süsinikdioksiid </t>
  </si>
  <si>
    <t>HEIT0005340</t>
  </si>
  <si>
    <t>HEIT0005339</t>
  </si>
  <si>
    <t>HEIT0005115</t>
  </si>
  <si>
    <t>HEIT0005116</t>
  </si>
  <si>
    <t>HEIT0005117</t>
  </si>
  <si>
    <t>HEIT0005118</t>
  </si>
  <si>
    <t>SR Carman OÜ</t>
  </si>
  <si>
    <t>Neste Eesti AS</t>
  </si>
  <si>
    <t>6513569    637302</t>
  </si>
  <si>
    <t>NO</t>
  </si>
  <si>
    <t>CO</t>
  </si>
  <si>
    <t>NMVOC</t>
  </si>
  <si>
    <t>Diislimahuti tuulutustoru</t>
  </si>
  <si>
    <t>Bensiinimahuti tuulutustoru</t>
  </si>
  <si>
    <t>Ahi Viadrus 22 korsten</t>
  </si>
  <si>
    <t>6513753    636888</t>
  </si>
  <si>
    <t>SO</t>
  </si>
  <si>
    <t>6513748    636890</t>
  </si>
  <si>
    <t>Värvikambri põleti korsten</t>
  </si>
  <si>
    <t>Ettevalmistusala ventilatsioon</t>
  </si>
  <si>
    <t>6513740    636886</t>
  </si>
  <si>
    <t>Värvikambri ventilatsioon</t>
  </si>
  <si>
    <t>6513753    636891</t>
  </si>
  <si>
    <t>Lenduvad orgaanilised ühendid</t>
  </si>
  <si>
    <t>Danstoker VHS-25</t>
  </si>
  <si>
    <t>Nimisoojusvõimsus</t>
  </si>
  <si>
    <t>Kokku</t>
  </si>
  <si>
    <t>Viessman Vitomax 200</t>
  </si>
  <si>
    <t>Soojusseadme nimetus</t>
  </si>
  <si>
    <t>Suurim võimalik g/s ja t/a</t>
  </si>
  <si>
    <t>Enne püüdeseadet g/s</t>
  </si>
  <si>
    <t>Pärast püüdeseadet g/s</t>
  </si>
  <si>
    <t>Enne püüdeseadet t/a</t>
  </si>
  <si>
    <t>Pärast püüdeseadet t/a</t>
  </si>
  <si>
    <t>Suitsugaaside pesur</t>
  </si>
  <si>
    <t>HA10 + HA20</t>
  </si>
  <si>
    <t>Kõik kokku</t>
  </si>
  <si>
    <t>N1</t>
  </si>
  <si>
    <t>N2</t>
  </si>
  <si>
    <t>N3</t>
  </si>
  <si>
    <t>N4</t>
  </si>
  <si>
    <t>N5</t>
  </si>
  <si>
    <t>N6</t>
  </si>
  <si>
    <t>Utilitas Eesti AS</t>
  </si>
  <si>
    <t>g/s</t>
  </si>
  <si>
    <t>Nr.</t>
  </si>
  <si>
    <t>Süsinikmonooksiid</t>
  </si>
  <si>
    <t>Ci</t>
  </si>
  <si>
    <t>Vg</t>
  </si>
  <si>
    <t>V=0,25 x N</t>
  </si>
  <si>
    <t>V</t>
  </si>
  <si>
    <t>qi</t>
  </si>
  <si>
    <t>α</t>
  </si>
  <si>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=20.9/(20.9-6)</t>
    </r>
  </si>
  <si>
    <r>
      <t xml:space="preserve">Vg= V x </t>
    </r>
    <r>
      <rPr>
        <sz val="11"/>
        <color theme="1"/>
        <rFont val="Calibri"/>
        <family val="2"/>
      </rPr>
      <t>α</t>
    </r>
  </si>
  <si>
    <t>Mõõtmistulemused, mg/N3</t>
  </si>
  <si>
    <r>
      <t>V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 – 1 kg kütuse põlemisel tekkivate kuivade suitsugaaside maht, Nm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/kg;</t>
    </r>
  </si>
  <si>
    <r>
      <t>V – 1 kg kütuse põlemiseks vajalik teoreetiline õhukogus, Nm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/kg;</t>
    </r>
  </si>
  <si>
    <r>
      <t>α – liigõhutegur α = CO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 /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≈ 20,9 / (20,9 –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</si>
  <si>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Q</t>
    </r>
    <r>
      <rPr>
        <vertAlign val="superscript"/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 – kütuse alumine kütteväärtus, MJ/kg;</t>
    </r>
  </si>
  <si>
    <r>
      <t>c</t>
    </r>
    <r>
      <rPr>
        <vertAlign val="subscript"/>
        <sz val="11"/>
        <color rgb="FF202020"/>
        <rFont val="Calibri"/>
        <family val="2"/>
        <scheme val="minor"/>
      </rPr>
      <t>i</t>
    </r>
    <r>
      <rPr>
        <sz val="11"/>
        <color rgb="FF202020"/>
        <rFont val="Calibri"/>
        <family val="2"/>
        <scheme val="minor"/>
      </rPr>
      <t> – i-nda saasteaine sisaldus kuivades suitsugaasides, mg/Nm</t>
    </r>
    <r>
      <rPr>
        <vertAlign val="superscript"/>
        <sz val="11"/>
        <color rgb="FF202020"/>
        <rFont val="Calibri"/>
        <family val="2"/>
        <scheme val="minor"/>
      </rPr>
      <t>3</t>
    </r>
    <r>
      <rPr>
        <sz val="11"/>
        <color rgb="FF202020"/>
        <rFont val="Calibri"/>
        <family val="2"/>
        <scheme val="minor"/>
      </rPr>
      <t> (teisendustegurid on käesoleva määruse lisas 10) – raskmetallid µg/Nm</t>
    </r>
    <r>
      <rPr>
        <vertAlign val="superscript"/>
        <sz val="11"/>
        <color rgb="FF202020"/>
        <rFont val="Calibri"/>
        <family val="2"/>
        <scheme val="minor"/>
      </rPr>
      <t>3</t>
    </r>
    <r>
      <rPr>
        <sz val="11"/>
        <color rgb="FF202020"/>
        <rFont val="Calibri"/>
        <family val="2"/>
        <scheme val="minor"/>
      </rPr>
      <t>;</t>
    </r>
  </si>
  <si>
    <t>Eriheide puiduga kütmisel</t>
  </si>
  <si>
    <t>Qri puit</t>
  </si>
  <si>
    <t>Qri turvas</t>
  </si>
  <si>
    <r>
      <t>  q</t>
    </r>
    <r>
      <rPr>
        <b/>
        <vertAlign val="subscript"/>
        <sz val="11"/>
        <color rgb="FF202020"/>
        <rFont val="Calibri"/>
        <family val="2"/>
        <scheme val="minor"/>
      </rPr>
      <t>i</t>
    </r>
    <r>
      <rPr>
        <b/>
        <sz val="11"/>
        <color rgb="FF202020"/>
        <rFont val="Calibri"/>
        <family val="2"/>
        <scheme val="minor"/>
      </rPr>
      <t> = c</t>
    </r>
    <r>
      <rPr>
        <b/>
        <vertAlign val="subscript"/>
        <sz val="11"/>
        <color rgb="FF202020"/>
        <rFont val="Calibri"/>
        <family val="2"/>
        <scheme val="minor"/>
      </rPr>
      <t>i</t>
    </r>
    <r>
      <rPr>
        <b/>
        <sz val="11"/>
        <color rgb="FF202020"/>
        <rFont val="Calibri"/>
        <family val="2"/>
        <scheme val="minor"/>
      </rPr>
      <t> [V</t>
    </r>
    <r>
      <rPr>
        <b/>
        <vertAlign val="subscript"/>
        <sz val="11"/>
        <color rgb="FF202020"/>
        <rFont val="Calibri"/>
        <family val="2"/>
        <scheme val="minor"/>
      </rPr>
      <t>g</t>
    </r>
    <r>
      <rPr>
        <b/>
        <sz val="11"/>
        <color rgb="FF202020"/>
        <rFont val="Calibri"/>
        <family val="2"/>
        <scheme val="minor"/>
      </rPr>
      <t> + (α–1) × V] / Q</t>
    </r>
    <r>
      <rPr>
        <b/>
        <vertAlign val="superscript"/>
        <sz val="11"/>
        <color rgb="FF202020"/>
        <rFont val="Calibri"/>
        <family val="2"/>
        <scheme val="minor"/>
      </rPr>
      <t>r</t>
    </r>
    <r>
      <rPr>
        <b/>
        <vertAlign val="subscript"/>
        <sz val="11"/>
        <color rgb="FF202020"/>
        <rFont val="Calibri"/>
        <family val="2"/>
        <scheme val="minor"/>
      </rPr>
      <t>i</t>
    </r>
    <r>
      <rPr>
        <b/>
        <sz val="11"/>
        <color rgb="FF202020"/>
        <rFont val="Calibri"/>
        <family val="2"/>
        <scheme val="minor"/>
      </rPr>
      <t>, kus</t>
    </r>
  </si>
  <si>
    <r>
      <t>§ 3. </t>
    </r>
    <r>
      <rPr>
        <b/>
        <sz val="11"/>
        <color rgb="FF0061AA"/>
        <rFont val="Calibri"/>
        <family val="2"/>
        <scheme val="minor"/>
      </rPr>
      <t>  </t>
    </r>
    <r>
      <rPr>
        <b/>
        <sz val="11"/>
        <color rgb="FF000000"/>
        <rFont val="Calibri"/>
        <family val="2"/>
        <scheme val="minor"/>
      </rPr>
      <t>Saasteainete heitkoguste määramine otsese mõõtmise alusel (mõõtmised teostatud puiduhakke põletamisel)</t>
    </r>
  </si>
  <si>
    <t>Puiduhake püüdesedamega</t>
  </si>
  <si>
    <t>Enne püüdeseadet, g/s</t>
  </si>
  <si>
    <t>Keskkonnaministri 05.11.2017 määrus nr 44 „Väljaspool tööstusheite seaduse reguleerimisala olevatest põletusseadmetest väljutatavate saasteainete heite piirväärtused, saasteainete heite seirenõuded ja heite piirväärtuste järgimise kriteeriumid” Lisa 1, tabel nr 2</t>
  </si>
  <si>
    <t>Gaaside mahtkiirus normaaltingimustel VmN (Nm3 /s) = Vm (m3 /s) · 273 (K) / gaaside temperatuur (K)</t>
  </si>
  <si>
    <t>Saasteaine kontsentratsioon (mg/Nm3 ) = saasteaine hetkeline heitkogus (g/s) / VmN (Nm3 /s) · 1000 (mg/g)</t>
  </si>
  <si>
    <t>NOx</t>
  </si>
  <si>
    <r>
      <t>V</t>
    </r>
    <r>
      <rPr>
        <sz val="8"/>
        <color theme="1"/>
        <rFont val="Calibri"/>
        <family val="2"/>
        <scheme val="minor"/>
      </rPr>
      <t>m</t>
    </r>
  </si>
  <si>
    <r>
      <t>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/s</t>
    </r>
  </si>
  <si>
    <t>Temperatuur</t>
  </si>
  <si>
    <t>K</t>
  </si>
  <si>
    <r>
      <t>V</t>
    </r>
    <r>
      <rPr>
        <sz val="8"/>
        <color theme="1"/>
        <rFont val="Calibri"/>
        <family val="2"/>
        <scheme val="minor"/>
      </rPr>
      <t>mN</t>
    </r>
  </si>
  <si>
    <r>
      <t>Nm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/s</t>
    </r>
  </si>
  <si>
    <t>Kontsentratsioon</t>
  </si>
  <si>
    <r>
      <t>mg/Nm</t>
    </r>
    <r>
      <rPr>
        <sz val="11"/>
        <color theme="1"/>
        <rFont val="Calibri"/>
        <family val="2"/>
      </rPr>
      <t>³</t>
    </r>
  </si>
  <si>
    <t>Tükkturbaga küttes</t>
  </si>
  <si>
    <t>Puiduga küttes</t>
  </si>
  <si>
    <t>°C</t>
  </si>
  <si>
    <t xml:space="preserve"> Andmed vastavalt mõõtmistulemustele mõõtmispunktis nr.4</t>
  </si>
  <si>
    <t>Emissioonigaaside temperatuur</t>
  </si>
  <si>
    <t>Eriheide arvutatud vastavalt mõõtmistulemustele</t>
  </si>
  <si>
    <t>Protsent</t>
  </si>
  <si>
    <t>Turbaga kütmisel arvutatud eriheide</t>
  </si>
  <si>
    <t>Puiduga kütmisel eriheide vastavalt määrusele (1)</t>
  </si>
  <si>
    <t>Turbaga  kütmisel eriheide vastavalt määrusele (2)</t>
  </si>
  <si>
    <t>(2) Keskkonnaministri 24. novembri 2016. a
määruse nr 59 „Põletusseadmetest välisõhku
väljutatavate saasteainete heidete mõõtmise ja
arvutusliku määramise kord“ lisa 5
(Keskkonnaministri 20. märtsi 2019 määruse nr 7 sõnastuses)</t>
  </si>
  <si>
    <t>(1) Keskkonnaministri 24. novembri 2016. a
määruse nr 59 „Põletusseadmetest välisõhku
väljutatavate saasteainete heidete mõõtmise ja
arvutusliku määramise kord“ lisa 6
(Keskkonnaministri 20. märtsi 2019 määruse nr 7 sõnastuses)</t>
  </si>
  <si>
    <t xml:space="preserve">Puiduhakke kasutamisel </t>
  </si>
  <si>
    <t>Tükkturba kasutamisel</t>
  </si>
  <si>
    <t>Tabel 1.1</t>
  </si>
  <si>
    <t>Tabel 1.2.</t>
  </si>
  <si>
    <t>Tabel 2.1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</si>
</sst>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_-* #,##0.00\ _k_r_-;\-* #,##0.00\ _k_r_-;_-* &quot;-&quot;??\ _k_r_-;_-@_-"/>
    <numFmt numFmtId="168" formatCode="0.00000"/>
    <numFmt numFmtId="169" formatCode="0.00000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86"/>
    </font>
    <font>
      <sz val="1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  <charset val="186"/>
    </font>
    <font>
      <sz val="11"/>
      <name val="Arial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</font>
    <font>
      <sz val="11"/>
      <color rgb="FF202020"/>
      <name val="Calibri"/>
      <family val="2"/>
      <scheme val="minor"/>
    </font>
    <font>
      <vertAlign val="subscript"/>
      <sz val="11"/>
      <color rgb="FF202020"/>
      <name val="Calibri"/>
      <family val="2"/>
      <scheme val="minor"/>
    </font>
    <font>
      <vertAlign val="superscript"/>
      <sz val="11"/>
      <color rgb="FF20202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61AA"/>
      <name val="Calibri"/>
      <family val="2"/>
      <scheme val="minor"/>
    </font>
    <font>
      <b/>
      <sz val="11"/>
      <color rgb="FF202020"/>
      <name val="Calibri"/>
      <family val="2"/>
      <scheme val="minor"/>
    </font>
    <font>
      <b/>
      <vertAlign val="subscript"/>
      <sz val="11"/>
      <color rgb="FF202020"/>
      <name val="Calibri"/>
      <family val="2"/>
      <scheme val="minor"/>
    </font>
    <font>
      <b/>
      <vertAlign val="superscript"/>
      <sz val="11"/>
      <color rgb="FF20202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charset val="186"/>
    </font>
    <font>
      <sz val="11"/>
      <name val="Calibri"/>
      <family val="2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167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7" fillId="0" borderId="0"/>
    <xf numFmtId="0" fontId="1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1" fillId="0" borderId="0" applyFont="0" applyFill="0" applyBorder="0" applyAlignment="0" applyProtection="0"/>
    <xf numFmtId="0" fontId="18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6">
    <xf numFmtId="0" fontId="0" fillId="0" borderId="0" xfId="0"/>
    <xf numFmtId="0" fontId="0" fillId="0" borderId="0" xfId="0" applyAlignment="1">
      <alignment vertical="center"/>
    </xf>
    <xf numFmtId="0" fontId="9" fillId="3" borderId="7" xfId="0" applyFont="1" applyFill="1" applyBorder="1"/>
    <xf numFmtId="0" fontId="0" fillId="0" borderId="8" xfId="0" applyBorder="1"/>
    <xf numFmtId="0" fontId="4" fillId="0" borderId="8" xfId="0" applyFont="1" applyBorder="1"/>
    <xf numFmtId="0" fontId="1" fillId="0" borderId="9" xfId="0" applyFont="1" applyBorder="1"/>
    <xf numFmtId="0" fontId="0" fillId="0" borderId="10" xfId="0" applyBorder="1"/>
    <xf numFmtId="0" fontId="4" fillId="0" borderId="0" xfId="0" applyFont="1"/>
    <xf numFmtId="0" fontId="1" fillId="0" borderId="11" xfId="0" applyFont="1" applyBorder="1"/>
    <xf numFmtId="166" fontId="0" fillId="0" borderId="0" xfId="0" applyNumberFormat="1"/>
    <xf numFmtId="0" fontId="3" fillId="0" borderId="0" xfId="0" applyFont="1"/>
    <xf numFmtId="0" fontId="0" fillId="0" borderId="12" xfId="0" applyBorder="1"/>
    <xf numFmtId="0" fontId="0" fillId="0" borderId="13" xfId="0" applyBorder="1"/>
    <xf numFmtId="0" fontId="4" fillId="0" borderId="13" xfId="0" applyFont="1" applyBorder="1"/>
    <xf numFmtId="0" fontId="1" fillId="0" borderId="14" xfId="0" applyFont="1" applyBorder="1"/>
    <xf numFmtId="0" fontId="1" fillId="0" borderId="0" xfId="0" applyFont="1"/>
    <xf numFmtId="0" fontId="9" fillId="0" borderId="8" xfId="0" applyFont="1" applyFill="1" applyBorder="1"/>
    <xf numFmtId="0" fontId="0" fillId="0" borderId="8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2" fontId="0" fillId="0" borderId="8" xfId="0" applyNumberFormat="1" applyBorder="1"/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0" fillId="4" borderId="0" xfId="0" applyFont="1" applyFill="1"/>
    <xf numFmtId="0" fontId="0" fillId="0" borderId="0" xfId="0" applyFont="1"/>
    <xf numFmtId="0" fontId="0" fillId="0" borderId="0" xfId="0" applyFont="1" applyFill="1"/>
    <xf numFmtId="164" fontId="19" fillId="4" borderId="1" xfId="3" applyNumberFormat="1" applyFont="1" applyFill="1" applyBorder="1" applyAlignment="1">
      <alignment horizontal="right" vertical="center" wrapText="1"/>
    </xf>
    <xf numFmtId="0" fontId="0" fillId="5" borderId="0" xfId="0" applyFont="1" applyFill="1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19" fillId="4" borderId="1" xfId="3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/>
    </xf>
    <xf numFmtId="0" fontId="19" fillId="4" borderId="1" xfId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vertical="center"/>
    </xf>
    <xf numFmtId="0" fontId="0" fillId="4" borderId="0" xfId="0" applyFont="1" applyFill="1" applyBorder="1"/>
    <xf numFmtId="0" fontId="10" fillId="5" borderId="16" xfId="1" applyFont="1" applyFill="1" applyBorder="1" applyAlignment="1">
      <alignment vertical="center"/>
    </xf>
    <xf numFmtId="0" fontId="10" fillId="5" borderId="21" xfId="1" applyFont="1" applyFill="1" applyBorder="1" applyAlignment="1">
      <alignment vertical="center"/>
    </xf>
    <xf numFmtId="0" fontId="10" fillId="4" borderId="22" xfId="1" applyFont="1" applyFill="1" applyBorder="1" applyAlignment="1">
      <alignment horizontal="left" vertical="center"/>
    </xf>
    <xf numFmtId="0" fontId="10" fillId="4" borderId="23" xfId="1" applyFont="1" applyFill="1" applyBorder="1" applyAlignment="1">
      <alignment horizontal="center" vertical="center"/>
    </xf>
    <xf numFmtId="0" fontId="19" fillId="4" borderId="5" xfId="1" applyFont="1" applyFill="1" applyBorder="1" applyAlignment="1">
      <alignment horizontal="center" vertical="center" wrapText="1"/>
    </xf>
    <xf numFmtId="1" fontId="1" fillId="4" borderId="6" xfId="1" applyNumberFormat="1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 wrapText="1"/>
    </xf>
    <xf numFmtId="0" fontId="1" fillId="4" borderId="15" xfId="3" applyFont="1" applyFill="1" applyBorder="1" applyAlignment="1">
      <alignment horizontal="center" vertical="center"/>
    </xf>
    <xf numFmtId="1" fontId="1" fillId="4" borderId="1" xfId="3" applyNumberFormat="1" applyFont="1" applyFill="1" applyBorder="1" applyAlignment="1">
      <alignment horizontal="center" vertical="center"/>
    </xf>
    <xf numFmtId="2" fontId="1" fillId="4" borderId="1" xfId="3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0" fontId="10" fillId="0" borderId="0" xfId="0" applyFont="1" applyFill="1"/>
    <xf numFmtId="0" fontId="19" fillId="4" borderId="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vertical="center"/>
    </xf>
    <xf numFmtId="1" fontId="1" fillId="4" borderId="5" xfId="3" applyNumberFormat="1" applyFont="1" applyFill="1" applyBorder="1" applyAlignment="1">
      <alignment horizontal="center" vertical="center"/>
    </xf>
    <xf numFmtId="2" fontId="1" fillId="4" borderId="5" xfId="3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166" fontId="0" fillId="0" borderId="0" xfId="1" applyNumberFormat="1" applyFont="1" applyFill="1" applyAlignment="1">
      <alignment horizontal="right" vertical="center"/>
    </xf>
    <xf numFmtId="0" fontId="4" fillId="4" borderId="1" xfId="3" applyFont="1" applyFill="1" applyBorder="1" applyAlignment="1">
      <alignment horizontal="right" vertical="center"/>
    </xf>
    <xf numFmtId="164" fontId="4" fillId="4" borderId="1" xfId="3" applyNumberFormat="1" applyFont="1" applyFill="1" applyBorder="1" applyAlignment="1">
      <alignment horizontal="right" vertical="center"/>
    </xf>
    <xf numFmtId="0" fontId="0" fillId="0" borderId="0" xfId="1" applyFont="1" applyFill="1" applyAlignment="1">
      <alignment horizontal="right" vertical="center"/>
    </xf>
    <xf numFmtId="0" fontId="0" fillId="4" borderId="1" xfId="3" applyFont="1" applyFill="1" applyBorder="1" applyAlignment="1">
      <alignment horizontal="right" vertical="center"/>
    </xf>
    <xf numFmtId="164" fontId="0" fillId="4" borderId="1" xfId="3" applyNumberFormat="1" applyFont="1" applyFill="1" applyBorder="1" applyAlignment="1">
      <alignment horizontal="right" vertical="center"/>
    </xf>
    <xf numFmtId="0" fontId="0" fillId="4" borderId="0" xfId="3" applyFont="1" applyFill="1" applyAlignment="1">
      <alignment horizontal="right" vertical="center"/>
    </xf>
    <xf numFmtId="164" fontId="0" fillId="4" borderId="0" xfId="3" applyNumberFormat="1" applyFont="1" applyFill="1" applyAlignment="1">
      <alignment horizontal="right" vertical="center"/>
    </xf>
    <xf numFmtId="165" fontId="0" fillId="4" borderId="1" xfId="3" applyNumberFormat="1" applyFont="1" applyFill="1" applyBorder="1" applyAlignment="1">
      <alignment horizontal="right" vertical="center"/>
    </xf>
    <xf numFmtId="166" fontId="0" fillId="4" borderId="1" xfId="0" applyNumberFormat="1" applyFont="1" applyFill="1" applyBorder="1" applyAlignment="1">
      <alignment horizontal="right" vertical="center"/>
    </xf>
    <xf numFmtId="0" fontId="19" fillId="5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49" fontId="0" fillId="0" borderId="1" xfId="1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2" fillId="0" borderId="1" xfId="0" applyFont="1" applyBorder="1"/>
    <xf numFmtId="0" fontId="22" fillId="8" borderId="1" xfId="0" applyFont="1" applyFill="1" applyBorder="1" applyAlignment="1">
      <alignment vertical="top" wrapText="1"/>
    </xf>
    <xf numFmtId="3" fontId="22" fillId="0" borderId="1" xfId="0" applyNumberFormat="1" applyFont="1" applyBorder="1"/>
    <xf numFmtId="166" fontId="4" fillId="4" borderId="1" xfId="3" applyNumberFormat="1" applyFont="1" applyFill="1" applyBorder="1" applyAlignment="1">
      <alignment horizontal="right" vertical="center"/>
    </xf>
    <xf numFmtId="166" fontId="4" fillId="4" borderId="1" xfId="3" applyNumberFormat="1" applyFont="1" applyFill="1" applyBorder="1" applyAlignment="1">
      <alignment horizontal="right" vertical="center" wrapText="1"/>
    </xf>
    <xf numFmtId="166" fontId="4" fillId="4" borderId="3" xfId="3" applyNumberFormat="1" applyFont="1" applyFill="1" applyBorder="1" applyAlignment="1">
      <alignment horizontal="right" vertical="center" wrapText="1"/>
    </xf>
    <xf numFmtId="168" fontId="0" fillId="4" borderId="1" xfId="0" applyNumberFormat="1" applyFont="1" applyFill="1" applyBorder="1" applyAlignment="1">
      <alignment horizontal="right" vertical="center"/>
    </xf>
    <xf numFmtId="168" fontId="4" fillId="4" borderId="1" xfId="3" applyNumberFormat="1" applyFont="1" applyFill="1" applyBorder="1" applyAlignment="1">
      <alignment horizontal="right" vertical="center"/>
    </xf>
    <xf numFmtId="168" fontId="4" fillId="4" borderId="1" xfId="3" applyNumberFormat="1" applyFont="1" applyFill="1" applyBorder="1" applyAlignment="1">
      <alignment horizontal="right" vertical="center" wrapText="1"/>
    </xf>
    <xf numFmtId="168" fontId="4" fillId="4" borderId="3" xfId="3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3" xfId="0" applyNumberFormat="1" applyBorder="1"/>
    <xf numFmtId="2" fontId="1" fillId="4" borderId="1" xfId="1" applyNumberFormat="1" applyFont="1" applyFill="1" applyBorder="1" applyAlignment="1">
      <alignment horizontal="center" vertical="center" wrapText="1"/>
    </xf>
    <xf numFmtId="164" fontId="19" fillId="0" borderId="1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6" fontId="19" fillId="0" borderId="1" xfId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0" fillId="0" borderId="0" xfId="0" applyFont="1" applyFill="1" applyBorder="1"/>
    <xf numFmtId="0" fontId="19" fillId="0" borderId="0" xfId="3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166" fontId="0" fillId="0" borderId="1" xfId="0" applyNumberFormat="1" applyFont="1" applyBorder="1"/>
    <xf numFmtId="0" fontId="19" fillId="0" borderId="1" xfId="1" applyFont="1" applyFill="1" applyBorder="1" applyAlignment="1">
      <alignment horizontal="center" vertical="center" wrapText="1"/>
    </xf>
    <xf numFmtId="166" fontId="19" fillId="0" borderId="1" xfId="2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right" vertical="center"/>
    </xf>
    <xf numFmtId="0" fontId="0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0" fillId="0" borderId="1" xfId="0" applyNumberFormat="1" applyBorder="1"/>
    <xf numFmtId="164" fontId="0" fillId="0" borderId="1" xfId="0" applyNumberFormat="1" applyBorder="1"/>
    <xf numFmtId="166" fontId="4" fillId="0" borderId="1" xfId="0" applyNumberFormat="1" applyFon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/>
    <xf numFmtId="164" fontId="0" fillId="0" borderId="1" xfId="0" applyNumberFormat="1" applyFill="1" applyBorder="1"/>
    <xf numFmtId="3" fontId="22" fillId="0" borderId="1" xfId="0" applyNumberFormat="1" applyFont="1" applyFill="1" applyBorder="1"/>
    <xf numFmtId="166" fontId="4" fillId="8" borderId="1" xfId="0" applyNumberFormat="1" applyFont="1" applyFill="1" applyBorder="1" applyAlignment="1">
      <alignment vertical="top" wrapText="1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vertical="center"/>
    </xf>
    <xf numFmtId="164" fontId="1" fillId="4" borderId="1" xfId="3" applyNumberFormat="1" applyFont="1" applyFill="1" applyBorder="1" applyAlignment="1">
      <alignment horizontal="center" vertical="center"/>
    </xf>
    <xf numFmtId="164" fontId="1" fillId="4" borderId="5" xfId="3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" fontId="11" fillId="0" borderId="0" xfId="0" applyNumberFormat="1" applyFont="1"/>
    <xf numFmtId="164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 applyFill="1" applyBorder="1" applyAlignment="1"/>
    <xf numFmtId="0" fontId="0" fillId="0" borderId="1" xfId="0" applyBorder="1" applyAlignment="1">
      <alignment horizontal="center"/>
    </xf>
    <xf numFmtId="166" fontId="19" fillId="0" borderId="1" xfId="3" applyNumberFormat="1" applyFont="1" applyFill="1" applyBorder="1" applyAlignment="1">
      <alignment horizontal="right" vertical="center" wrapText="1"/>
    </xf>
    <xf numFmtId="164" fontId="19" fillId="0" borderId="1" xfId="3" applyNumberFormat="1" applyFont="1" applyFill="1" applyBorder="1" applyAlignment="1">
      <alignment horizontal="right" vertical="center" wrapText="1"/>
    </xf>
    <xf numFmtId="168" fontId="19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25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0" fillId="0" borderId="0" xfId="0" applyFont="1" applyAlignment="1"/>
    <xf numFmtId="0" fontId="0" fillId="5" borderId="1" xfId="0" applyFill="1" applyBorder="1" applyAlignment="1">
      <alignment horizontal="center" vertical="center" wrapText="1"/>
    </xf>
    <xf numFmtId="164" fontId="0" fillId="7" borderId="1" xfId="0" applyNumberFormat="1" applyFill="1" applyBorder="1"/>
    <xf numFmtId="0" fontId="31" fillId="0" borderId="0" xfId="0" applyFont="1"/>
    <xf numFmtId="2" fontId="0" fillId="0" borderId="1" xfId="0" applyNumberFormat="1" applyFill="1" applyBorder="1"/>
    <xf numFmtId="0" fontId="24" fillId="0" borderId="1" xfId="0" applyFont="1" applyBorder="1"/>
    <xf numFmtId="2" fontId="0" fillId="3" borderId="1" xfId="0" applyNumberFormat="1" applyFill="1" applyBorder="1"/>
    <xf numFmtId="164" fontId="0" fillId="0" borderId="0" xfId="0" applyNumberFormat="1" applyFill="1" applyBorder="1"/>
    <xf numFmtId="0" fontId="4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5" fontId="0" fillId="0" borderId="1" xfId="0" applyNumberFormat="1" applyFont="1" applyBorder="1"/>
    <xf numFmtId="0" fontId="10" fillId="6" borderId="0" xfId="0" applyFont="1" applyFill="1" applyAlignment="1"/>
    <xf numFmtId="0" fontId="10" fillId="0" borderId="0" xfId="0" applyFont="1" applyFill="1" applyAlignment="1"/>
    <xf numFmtId="0" fontId="0" fillId="0" borderId="0" xfId="0" applyFont="1" applyFill="1" applyBorder="1" applyAlignment="1">
      <alignment horizontal="right" vertical="center"/>
    </xf>
    <xf numFmtId="0" fontId="0" fillId="0" borderId="0" xfId="1" applyFont="1" applyFill="1" applyBorder="1" applyAlignment="1">
      <alignment horizontal="right" vertical="center"/>
    </xf>
    <xf numFmtId="0" fontId="34" fillId="0" borderId="0" xfId="0" applyFont="1" applyFill="1" applyAlignment="1"/>
    <xf numFmtId="0" fontId="34" fillId="0" borderId="0" xfId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164" fontId="0" fillId="7" borderId="1" xfId="0" applyNumberFormat="1" applyFont="1" applyFill="1" applyBorder="1"/>
    <xf numFmtId="0" fontId="0" fillId="7" borderId="1" xfId="0" applyFont="1" applyFill="1" applyBorder="1"/>
    <xf numFmtId="0" fontId="1" fillId="5" borderId="1" xfId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9" borderId="1" xfId="0" applyNumberFormat="1" applyFill="1" applyBorder="1"/>
    <xf numFmtId="0" fontId="0" fillId="0" borderId="1" xfId="0" applyBorder="1" applyAlignment="1">
      <alignment horizontal="center"/>
    </xf>
    <xf numFmtId="169" fontId="0" fillId="0" borderId="0" xfId="0" applyNumberFormat="1"/>
    <xf numFmtId="0" fontId="4" fillId="0" borderId="0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4" xfId="0" applyBorder="1" applyAlignment="1"/>
    <xf numFmtId="0" fontId="0" fillId="0" borderId="0" xfId="0" applyBorder="1" applyAlignment="1">
      <alignment wrapText="1"/>
    </xf>
    <xf numFmtId="165" fontId="0" fillId="0" borderId="1" xfId="0" applyNumberFormat="1" applyBorder="1"/>
    <xf numFmtId="166" fontId="0" fillId="7" borderId="1" xfId="0" applyNumberFormat="1" applyFont="1" applyFill="1" applyBorder="1"/>
    <xf numFmtId="0" fontId="0" fillId="3" borderId="1" xfId="0" applyFill="1" applyBorder="1" applyAlignment="1">
      <alignment horizontal="right"/>
    </xf>
    <xf numFmtId="0" fontId="4" fillId="5" borderId="1" xfId="0" applyFont="1" applyFill="1" applyBorder="1"/>
    <xf numFmtId="164" fontId="0" fillId="0" borderId="0" xfId="0" applyNumberFormat="1" applyFont="1"/>
    <xf numFmtId="2" fontId="0" fillId="0" borderId="1" xfId="0" applyNumberFormat="1" applyBorder="1"/>
    <xf numFmtId="1" fontId="4" fillId="0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/>
    </xf>
    <xf numFmtId="0" fontId="4" fillId="5" borderId="1" xfId="11" applyFont="1" applyFill="1" applyBorder="1" applyAlignment="1">
      <alignment horizontal="center" vertical="center" wrapText="1"/>
    </xf>
    <xf numFmtId="166" fontId="4" fillId="9" borderId="1" xfId="0" applyNumberFormat="1" applyFont="1" applyFill="1" applyBorder="1" applyAlignment="1">
      <alignment horizontal="right" vertical="center" wrapText="1"/>
    </xf>
    <xf numFmtId="1" fontId="4" fillId="0" borderId="6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/>
    <xf numFmtId="166" fontId="19" fillId="9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165" fontId="0" fillId="0" borderId="0" xfId="0" applyNumberFormat="1" applyFont="1" applyBorder="1"/>
    <xf numFmtId="164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ont="1" applyFill="1" applyBorder="1"/>
    <xf numFmtId="164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ill="1" applyBorder="1"/>
    <xf numFmtId="164" fontId="0" fillId="7" borderId="2" xfId="0" applyNumberFormat="1" applyFont="1" applyFill="1" applyBorder="1"/>
    <xf numFmtId="164" fontId="0" fillId="7" borderId="6" xfId="0" applyNumberFormat="1" applyFont="1" applyFill="1" applyBorder="1"/>
    <xf numFmtId="0" fontId="0" fillId="0" borderId="17" xfId="0" applyFont="1" applyFill="1" applyBorder="1"/>
    <xf numFmtId="0" fontId="0" fillId="0" borderId="19" xfId="0" applyFont="1" applyBorder="1"/>
    <xf numFmtId="166" fontId="0" fillId="0" borderId="0" xfId="0" applyNumberFormat="1" applyFill="1"/>
    <xf numFmtId="0" fontId="4" fillId="0" borderId="1" xfId="0" applyFont="1" applyBorder="1"/>
    <xf numFmtId="0" fontId="39" fillId="0" borderId="1" xfId="16" applyFont="1" applyBorder="1" applyAlignment="1" applyProtection="1"/>
    <xf numFmtId="0" fontId="39" fillId="0" borderId="1" xfId="16" applyFont="1" applyBorder="1" applyAlignment="1" applyProtection="1">
      <alignment vertical="top" wrapText="1"/>
    </xf>
    <xf numFmtId="164" fontId="0" fillId="0" borderId="1" xfId="0" applyNumberFormat="1" applyFont="1" applyFill="1" applyBorder="1"/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9" fillId="4" borderId="16" xfId="3" applyFont="1" applyFill="1" applyBorder="1" applyAlignment="1">
      <alignment horizontal="center" vertical="top" wrapText="1"/>
    </xf>
    <xf numFmtId="0" fontId="19" fillId="4" borderId="22" xfId="3" applyFont="1" applyFill="1" applyBorder="1" applyAlignment="1">
      <alignment horizontal="center" vertical="top" wrapText="1"/>
    </xf>
    <xf numFmtId="0" fontId="19" fillId="4" borderId="17" xfId="3" applyFont="1" applyFill="1" applyBorder="1" applyAlignment="1">
      <alignment horizontal="center" vertical="top" wrapText="1"/>
    </xf>
    <xf numFmtId="0" fontId="19" fillId="4" borderId="2" xfId="3" applyFont="1" applyFill="1" applyBorder="1" applyAlignment="1">
      <alignment horizontal="center" vertical="top" wrapText="1"/>
    </xf>
    <xf numFmtId="0" fontId="19" fillId="4" borderId="3" xfId="3" applyFont="1" applyFill="1" applyBorder="1" applyAlignment="1">
      <alignment horizontal="center" vertical="top" wrapText="1"/>
    </xf>
    <xf numFmtId="0" fontId="19" fillId="4" borderId="6" xfId="3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0" fontId="10" fillId="5" borderId="15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left" vertical="center" wrapText="1"/>
    </xf>
    <xf numFmtId="0" fontId="0" fillId="4" borderId="1" xfId="1" applyFont="1" applyFill="1" applyBorder="1" applyAlignment="1">
      <alignment horizontal="left" vertical="center" wrapText="1"/>
    </xf>
    <xf numFmtId="0" fontId="0" fillId="4" borderId="18" xfId="1" applyFont="1" applyFill="1" applyBorder="1" applyAlignment="1">
      <alignment horizontal="left" vertical="center" wrapText="1"/>
    </xf>
    <xf numFmtId="0" fontId="0" fillId="4" borderId="19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center" vertical="top" wrapText="1"/>
    </xf>
    <xf numFmtId="0" fontId="19" fillId="4" borderId="3" xfId="1" applyFont="1" applyFill="1" applyBorder="1" applyAlignment="1">
      <alignment horizontal="center" vertical="top" wrapText="1"/>
    </xf>
    <xf numFmtId="0" fontId="19" fillId="4" borderId="6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22">
    <cellStyle name="Comma 2" xfId="4"/>
    <cellStyle name="Hüperlink" xfId="16" builtinId="8"/>
    <cellStyle name="Hüperlink 2" xfId="5"/>
    <cellStyle name="Hüperlink 3" xfId="17"/>
    <cellStyle name="Hyperlink 2" xfId="6"/>
    <cellStyle name="Koma 2" xfId="18"/>
    <cellStyle name="Normaallaad" xfId="0" builtinId="0"/>
    <cellStyle name="Normaallaad 2" xfId="3"/>
    <cellStyle name="Normaallaad 2 2" xfId="7"/>
    <cellStyle name="Normaallaad 3" xfId="8"/>
    <cellStyle name="Normaallaad 4" xfId="19"/>
    <cellStyle name="Normaallaad 5" xfId="1"/>
    <cellStyle name="Normaallaad 6" xfId="20"/>
    <cellStyle name="Normaallaad 7" xfId="21"/>
    <cellStyle name="Normal" xfId="14"/>
    <cellStyle name="Normal 2" xfId="9"/>
    <cellStyle name="Normal 2 2" xfId="10"/>
    <cellStyle name="Normal 3" xfId="11"/>
    <cellStyle name="Normal 4" xfId="12"/>
    <cellStyle name="Normal_TARTALL" xfId="15"/>
    <cellStyle name="Protsent 2" xfId="13"/>
    <cellStyle name="Protsent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ma%20O&#220;\RIDAS%20YACHT%20&amp;%20COMPOSITES%20O&#220;\Ridas_Yacht_arvutustabelid_f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Ü"/>
      <sheetName val="lahustid"/>
      <sheetName val="Põletamine puhurid"/>
      <sheetName val="Põletamine katlad"/>
      <sheetName val="kiirus V1"/>
      <sheetName val="kiirus V7"/>
      <sheetName val="Keevitus koos CO ja NO)"/>
      <sheetName val="Puidu töötlemine"/>
      <sheetName val="Heiteallikate mõõdud"/>
      <sheetName val="Süsiniku arvutus"/>
    </sheetNames>
    <sheetDataSet>
      <sheetData sheetId="0">
        <row r="12">
          <cell r="M12">
            <v>10626</v>
          </cell>
        </row>
      </sheetData>
      <sheetData sheetId="1">
        <row r="5">
          <cell r="R5">
            <v>5.9994999999999996E-3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kotkas.envir.ee/registry_emission_source/emission_source_view?registry_code=HEIT0005115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kotkas.envir.ee/registry_emission_source/emission_source_view?registry_code=HEIT0005339" TargetMode="External"/><Relationship Id="rId1" Type="http://schemas.openxmlformats.org/officeDocument/2006/relationships/hyperlink" Target="https://kotkas.envir.ee/registry_emission_source/emission_source_view?registry_code=HEIT0005340" TargetMode="External"/><Relationship Id="rId6" Type="http://schemas.openxmlformats.org/officeDocument/2006/relationships/hyperlink" Target="https://kotkas.envir.ee/registry_emission_source/emission_source_view?registry_code=HEIT0005118" TargetMode="External"/><Relationship Id="rId5" Type="http://schemas.openxmlformats.org/officeDocument/2006/relationships/hyperlink" Target="https://kotkas.envir.ee/registry_emission_source/emission_source_view?registry_code=HEIT0005117" TargetMode="External"/><Relationship Id="rId4" Type="http://schemas.openxmlformats.org/officeDocument/2006/relationships/hyperlink" Target="https://kotkas.envir.ee/registry_emission_source/emission_source_view?registry_code=HEIT000511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I30" sqref="I30"/>
    </sheetView>
  </sheetViews>
  <sheetFormatPr defaultRowHeight="14.4"/>
  <cols>
    <col min="1" max="1" width="5.33203125" customWidth="1"/>
    <col min="3" max="3" width="20.5546875" customWidth="1"/>
    <col min="4" max="4" width="15.33203125" customWidth="1"/>
    <col min="5" max="5" width="11.109375" customWidth="1"/>
    <col min="6" max="6" width="15.6640625" customWidth="1"/>
    <col min="7" max="10" width="11.109375" customWidth="1"/>
    <col min="11" max="11" width="15.44140625" customWidth="1"/>
    <col min="12" max="13" width="11.109375" customWidth="1"/>
    <col min="14" max="14" width="14.88671875" customWidth="1"/>
    <col min="15" max="15" width="11.109375" customWidth="1"/>
    <col min="16" max="16" width="18.33203125" customWidth="1"/>
    <col min="17" max="17" width="18.109375" customWidth="1"/>
  </cols>
  <sheetData>
    <row r="1" spans="1:18" ht="62.4">
      <c r="A1" s="110" t="s">
        <v>156</v>
      </c>
      <c r="B1" s="18" t="s">
        <v>59</v>
      </c>
      <c r="C1" s="19" t="s">
        <v>139</v>
      </c>
      <c r="D1" s="19"/>
      <c r="E1" s="18" t="s">
        <v>60</v>
      </c>
      <c r="F1" s="19" t="s">
        <v>61</v>
      </c>
      <c r="G1" s="18" t="s">
        <v>62</v>
      </c>
      <c r="H1" s="18" t="s">
        <v>63</v>
      </c>
      <c r="I1" s="23" t="s">
        <v>136</v>
      </c>
      <c r="J1" s="23" t="s">
        <v>93</v>
      </c>
      <c r="K1" s="20" t="s">
        <v>94</v>
      </c>
      <c r="L1" s="19" t="s">
        <v>64</v>
      </c>
      <c r="M1" s="19" t="s">
        <v>65</v>
      </c>
      <c r="N1" s="21" t="s">
        <v>66</v>
      </c>
      <c r="O1" s="19" t="s">
        <v>0</v>
      </c>
      <c r="P1" s="257"/>
      <c r="Q1" s="257"/>
      <c r="R1" s="22"/>
    </row>
    <row r="2" spans="1:18" s="1" customFormat="1">
      <c r="A2" s="256">
        <v>1</v>
      </c>
      <c r="B2" s="261" t="s">
        <v>103</v>
      </c>
      <c r="C2" s="266" t="s">
        <v>135</v>
      </c>
      <c r="D2" s="29" t="s">
        <v>95</v>
      </c>
      <c r="E2" s="264">
        <v>0.8</v>
      </c>
      <c r="F2" s="264">
        <v>45</v>
      </c>
      <c r="G2" s="264">
        <v>55</v>
      </c>
      <c r="H2" s="262">
        <f>Kiirused!E9</f>
        <v>5.9197691922492082</v>
      </c>
      <c r="I2" s="268">
        <v>6</v>
      </c>
      <c r="J2" s="260">
        <v>0.85</v>
      </c>
      <c r="K2" s="258">
        <f>ROUND(I2/J2,3)</f>
        <v>7.0590000000000002</v>
      </c>
      <c r="L2" s="111">
        <v>14950</v>
      </c>
      <c r="M2" s="264">
        <v>8600</v>
      </c>
      <c r="N2" s="27">
        <v>8.23</v>
      </c>
      <c r="O2" s="29">
        <v>0.05</v>
      </c>
      <c r="P2" s="30"/>
      <c r="Q2" s="30"/>
      <c r="R2" s="32"/>
    </row>
    <row r="3" spans="1:18" s="1" customFormat="1">
      <c r="A3" s="256"/>
      <c r="B3" s="261"/>
      <c r="C3" s="267"/>
      <c r="D3" s="29" t="s">
        <v>102</v>
      </c>
      <c r="E3" s="265"/>
      <c r="F3" s="265"/>
      <c r="G3" s="265"/>
      <c r="H3" s="263"/>
      <c r="I3" s="269"/>
      <c r="J3" s="260"/>
      <c r="K3" s="259"/>
      <c r="L3" s="111">
        <v>10850</v>
      </c>
      <c r="M3" s="265"/>
      <c r="N3" s="27">
        <v>10.35</v>
      </c>
      <c r="O3" s="29">
        <v>0.35</v>
      </c>
      <c r="P3" s="30"/>
      <c r="Q3" s="30"/>
      <c r="R3" s="32"/>
    </row>
    <row r="4" spans="1:18" s="1" customFormat="1">
      <c r="A4" s="159">
        <v>2</v>
      </c>
      <c r="B4" s="29" t="s">
        <v>104</v>
      </c>
      <c r="C4" s="114" t="s">
        <v>138</v>
      </c>
      <c r="D4" s="29" t="s">
        <v>101</v>
      </c>
      <c r="E4" s="29">
        <v>0.9</v>
      </c>
      <c r="F4" s="29">
        <v>19</v>
      </c>
      <c r="G4" s="29">
        <v>170</v>
      </c>
      <c r="H4" s="28">
        <f>Kiirused!E19</f>
        <v>6.4630752237057605</v>
      </c>
      <c r="I4" s="162">
        <v>7.8</v>
      </c>
      <c r="J4" s="163">
        <v>0.89900000000000002</v>
      </c>
      <c r="K4" s="166">
        <f>ROUND(I4/J4,3)</f>
        <v>8.6760000000000002</v>
      </c>
      <c r="L4" s="111">
        <v>1400</v>
      </c>
      <c r="M4" s="29">
        <v>5000</v>
      </c>
      <c r="N4" s="27">
        <v>34</v>
      </c>
      <c r="O4" s="29">
        <v>0</v>
      </c>
      <c r="P4" s="30"/>
      <c r="Q4" s="30"/>
      <c r="R4" s="32"/>
    </row>
    <row r="5" spans="1:18">
      <c r="A5" s="158">
        <v>3</v>
      </c>
      <c r="B5" s="29" t="s">
        <v>105</v>
      </c>
      <c r="C5" s="114" t="s">
        <v>138</v>
      </c>
      <c r="D5" s="29" t="s">
        <v>101</v>
      </c>
      <c r="E5" s="29">
        <v>0.7</v>
      </c>
      <c r="F5" s="29">
        <v>19</v>
      </c>
      <c r="G5" s="29">
        <v>170</v>
      </c>
      <c r="H5" s="35">
        <f>Kiirused!E31</f>
        <v>7.2592610719305011</v>
      </c>
      <c r="I5" s="164">
        <v>5.3</v>
      </c>
      <c r="J5" s="163">
        <v>0.89900000000000002</v>
      </c>
      <c r="K5" s="201">
        <f t="shared" ref="K5:K6" si="0">ROUND(I5/J5,3)</f>
        <v>5.8949999999999996</v>
      </c>
      <c r="L5" s="112">
        <v>2100</v>
      </c>
      <c r="M5" s="29">
        <v>8700</v>
      </c>
      <c r="N5" s="27">
        <v>34</v>
      </c>
      <c r="O5" s="29">
        <v>0</v>
      </c>
      <c r="P5" s="29"/>
      <c r="Q5" s="29"/>
      <c r="R5" s="33"/>
    </row>
    <row r="6" spans="1:18">
      <c r="A6" s="158">
        <v>4</v>
      </c>
      <c r="B6" s="29" t="s">
        <v>106</v>
      </c>
      <c r="C6" s="114"/>
      <c r="D6" s="29" t="s">
        <v>101</v>
      </c>
      <c r="E6" s="96">
        <v>0.35</v>
      </c>
      <c r="F6" s="96">
        <v>13</v>
      </c>
      <c r="G6" s="30">
        <v>170</v>
      </c>
      <c r="H6" s="35">
        <f>Kiirused!E42</f>
        <v>10.649379092460558</v>
      </c>
      <c r="I6" s="164">
        <v>2</v>
      </c>
      <c r="J6" s="163">
        <v>0.92500000000000004</v>
      </c>
      <c r="K6" s="201">
        <f t="shared" si="0"/>
        <v>2.1619999999999999</v>
      </c>
      <c r="L6" s="113">
        <v>1500</v>
      </c>
      <c r="M6" s="109">
        <v>8000</v>
      </c>
      <c r="N6" s="27">
        <v>34</v>
      </c>
      <c r="O6" s="29">
        <v>0</v>
      </c>
      <c r="P6" s="29"/>
      <c r="Q6" s="29"/>
      <c r="R6" s="33"/>
    </row>
    <row r="7" spans="1:18">
      <c r="B7" s="34"/>
      <c r="C7" s="33"/>
      <c r="D7" s="33"/>
      <c r="E7" s="33"/>
      <c r="F7" s="33"/>
      <c r="G7" s="33"/>
      <c r="H7" s="34"/>
      <c r="I7" s="34"/>
      <c r="J7" s="27" t="s">
        <v>137</v>
      </c>
      <c r="K7" s="28">
        <f>SUM(K2:K6)</f>
        <v>23.791999999999998</v>
      </c>
      <c r="L7" s="34"/>
      <c r="M7" s="34"/>
      <c r="N7" s="34"/>
      <c r="O7" s="34"/>
      <c r="P7" s="34"/>
      <c r="Q7" s="34"/>
      <c r="R7" s="33"/>
    </row>
    <row r="8" spans="1:18">
      <c r="B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8">
      <c r="B9" s="24"/>
      <c r="C9" s="24"/>
      <c r="D9" s="24"/>
      <c r="E9" s="24"/>
      <c r="F9" s="24"/>
      <c r="G9" s="24"/>
      <c r="H9" s="24"/>
      <c r="I9" s="24"/>
      <c r="J9" s="24"/>
      <c r="K9" s="24"/>
      <c r="L9" s="165"/>
      <c r="M9" s="24"/>
      <c r="N9" s="24"/>
      <c r="O9" s="24"/>
      <c r="P9" s="24"/>
      <c r="Q9" s="24"/>
    </row>
    <row r="10" spans="1:18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65"/>
      <c r="M10" s="24"/>
      <c r="N10" s="24"/>
      <c r="O10" s="24"/>
      <c r="P10" s="24"/>
      <c r="Q10" s="24"/>
    </row>
  </sheetData>
  <mergeCells count="12">
    <mergeCell ref="A2:A3"/>
    <mergeCell ref="P1:Q1"/>
    <mergeCell ref="K2:K3"/>
    <mergeCell ref="J2:J3"/>
    <mergeCell ref="B2:B3"/>
    <mergeCell ref="H2:H3"/>
    <mergeCell ref="M2:M3"/>
    <mergeCell ref="E2:E3"/>
    <mergeCell ref="F2:F3"/>
    <mergeCell ref="G2:G3"/>
    <mergeCell ref="C2:C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89" zoomScaleNormal="89" workbookViewId="0">
      <selection activeCell="R36" sqref="R36"/>
    </sheetView>
  </sheetViews>
  <sheetFormatPr defaultRowHeight="14.4"/>
  <cols>
    <col min="1" max="1" width="2.77734375" style="39" customWidth="1"/>
    <col min="2" max="2" width="8.88671875" style="38"/>
    <col min="3" max="3" width="10.33203125" style="38" customWidth="1"/>
    <col min="4" max="4" width="10.6640625" style="38" customWidth="1"/>
    <col min="5" max="5" width="3.6640625" style="38" customWidth="1"/>
    <col min="6" max="7" width="8.88671875" style="38"/>
    <col min="8" max="8" width="11.5546875" style="38" customWidth="1"/>
    <col min="9" max="9" width="2.6640625" style="38" customWidth="1"/>
    <col min="10" max="11" width="8.88671875" style="38"/>
    <col min="12" max="12" width="11" style="38" customWidth="1"/>
    <col min="13" max="13" width="8.88671875" style="38"/>
    <col min="14" max="14" width="12.21875" style="125" customWidth="1"/>
    <col min="15" max="15" width="12.5546875" style="125" customWidth="1"/>
    <col min="16" max="16" width="8.88671875" style="125"/>
    <col min="17" max="18" width="10.77734375" style="125" customWidth="1"/>
    <col min="19" max="20" width="8.88671875" style="125"/>
    <col min="21" max="21" width="11.109375" style="125" customWidth="1"/>
    <col min="22" max="22" width="11.109375" style="38" customWidth="1"/>
    <col min="23" max="16384" width="8.88671875" style="38"/>
  </cols>
  <sheetData>
    <row r="1" spans="1:21" s="25" customFormat="1">
      <c r="A1" s="62"/>
      <c r="B1" s="276" t="str">
        <f>Algandmed!B4</f>
        <v>HA-20</v>
      </c>
      <c r="C1" s="276"/>
      <c r="D1" s="276"/>
      <c r="F1" s="276" t="str">
        <f>Algandmed!B5</f>
        <v>HA-30</v>
      </c>
      <c r="G1" s="276"/>
      <c r="H1" s="276"/>
      <c r="J1" s="276" t="str">
        <f>Algandmed!B6</f>
        <v>HA-40</v>
      </c>
      <c r="K1" s="276"/>
      <c r="L1" s="276"/>
      <c r="N1" s="168"/>
      <c r="O1" s="168"/>
      <c r="P1" s="124"/>
      <c r="Q1" s="168"/>
      <c r="R1" s="168"/>
      <c r="S1" s="124"/>
      <c r="T1" s="124"/>
      <c r="U1" s="124"/>
    </row>
    <row r="2" spans="1:21">
      <c r="B2" s="277" t="str">
        <f>Algandmed!D4</f>
        <v>Maagaas</v>
      </c>
      <c r="C2" s="277"/>
      <c r="D2" s="277"/>
      <c r="F2" s="277" t="str">
        <f>Algandmed!D5</f>
        <v>Maagaas</v>
      </c>
      <c r="G2" s="277"/>
      <c r="H2" s="277"/>
      <c r="J2" s="277" t="str">
        <f>Algandmed!D6</f>
        <v>Maagaas</v>
      </c>
      <c r="K2" s="277"/>
      <c r="L2" s="277"/>
      <c r="N2" s="168"/>
      <c r="O2" s="168"/>
      <c r="Q2" s="168"/>
      <c r="R2" s="168"/>
    </row>
    <row r="3" spans="1:21">
      <c r="A3" s="42"/>
      <c r="B3" s="270" t="s">
        <v>5</v>
      </c>
      <c r="C3" s="65">
        <f>C5*C6</f>
        <v>47600</v>
      </c>
      <c r="D3" s="43" t="s">
        <v>6</v>
      </c>
      <c r="F3" s="273" t="s">
        <v>5</v>
      </c>
      <c r="G3" s="57">
        <f>G5*G6</f>
        <v>71400</v>
      </c>
      <c r="H3" s="43" t="s">
        <v>6</v>
      </c>
      <c r="J3" s="273" t="s">
        <v>5</v>
      </c>
      <c r="K3" s="57">
        <f>K5*K6</f>
        <v>51000</v>
      </c>
      <c r="L3" s="43" t="s">
        <v>6</v>
      </c>
    </row>
    <row r="4" spans="1:21">
      <c r="A4" s="42"/>
      <c r="B4" s="271"/>
      <c r="C4" s="160">
        <f>Algandmed!K4</f>
        <v>8.6760000000000002</v>
      </c>
      <c r="D4" s="43" t="s">
        <v>99</v>
      </c>
      <c r="F4" s="274"/>
      <c r="G4" s="161">
        <f>Algandmed!K5</f>
        <v>5.8949999999999996</v>
      </c>
      <c r="H4" s="43" t="s">
        <v>99</v>
      </c>
      <c r="J4" s="274"/>
      <c r="K4" s="161">
        <f>Algandmed!K6</f>
        <v>2.1619999999999999</v>
      </c>
      <c r="L4" s="43" t="s">
        <v>99</v>
      </c>
    </row>
    <row r="5" spans="1:21">
      <c r="A5" s="42"/>
      <c r="B5" s="271"/>
      <c r="C5" s="58">
        <f>Algandmed!L4</f>
        <v>1400</v>
      </c>
      <c r="D5" s="45" t="s">
        <v>109</v>
      </c>
      <c r="F5" s="274"/>
      <c r="G5" s="66">
        <f>Algandmed!L5</f>
        <v>2100</v>
      </c>
      <c r="H5" s="45" t="s">
        <v>109</v>
      </c>
      <c r="J5" s="274"/>
      <c r="K5" s="66">
        <f>Algandmed!L6</f>
        <v>1500</v>
      </c>
      <c r="L5" s="45" t="s">
        <v>109</v>
      </c>
    </row>
    <row r="6" spans="1:21">
      <c r="A6" s="44"/>
      <c r="B6" s="272"/>
      <c r="C6" s="59">
        <f>Algandmed!N4</f>
        <v>34</v>
      </c>
      <c r="D6" s="54" t="s">
        <v>108</v>
      </c>
      <c r="F6" s="275"/>
      <c r="G6" s="67">
        <f>Algandmed!N5</f>
        <v>34</v>
      </c>
      <c r="H6" s="54" t="s">
        <v>108</v>
      </c>
      <c r="J6" s="275"/>
      <c r="K6" s="67">
        <f>Algandmed!N6</f>
        <v>34</v>
      </c>
      <c r="L6" s="54" t="s">
        <v>108</v>
      </c>
    </row>
    <row r="7" spans="1:21" ht="72">
      <c r="A7" s="64"/>
      <c r="B7" s="43" t="s">
        <v>12</v>
      </c>
      <c r="C7" s="43" t="s">
        <v>14</v>
      </c>
      <c r="D7" s="43" t="s">
        <v>13</v>
      </c>
      <c r="F7" s="43" t="s">
        <v>12</v>
      </c>
      <c r="G7" s="43" t="s">
        <v>14</v>
      </c>
      <c r="H7" s="43" t="s">
        <v>13</v>
      </c>
      <c r="J7" s="43" t="s">
        <v>12</v>
      </c>
      <c r="K7" s="43" t="s">
        <v>14</v>
      </c>
      <c r="L7" s="43" t="s">
        <v>13</v>
      </c>
      <c r="N7" s="126"/>
      <c r="O7" s="126"/>
      <c r="Q7" s="126"/>
      <c r="R7" s="126"/>
      <c r="U7" s="126"/>
    </row>
    <row r="8" spans="1:21">
      <c r="A8" s="68"/>
      <c r="B8" s="170">
        <v>42.8</v>
      </c>
      <c r="C8" s="171">
        <f>$C$4*B8/1000</f>
        <v>0.37133279999999996</v>
      </c>
      <c r="D8" s="171">
        <f t="shared" ref="D8:D30" si="0">B8*$C$3/1000000</f>
        <v>2.03728</v>
      </c>
      <c r="E8" s="69"/>
      <c r="F8" s="172">
        <v>42.8</v>
      </c>
      <c r="G8" s="171">
        <f>$G$4*F8/1000</f>
        <v>0.25230599999999997</v>
      </c>
      <c r="H8" s="171">
        <f>F8*$G$3/1000000</f>
        <v>3.05592</v>
      </c>
      <c r="I8" s="69"/>
      <c r="J8" s="170">
        <v>42.8</v>
      </c>
      <c r="K8" s="171">
        <f>$K$4*J8/1000</f>
        <v>9.2533599999999994E-2</v>
      </c>
      <c r="L8" s="171">
        <f>J8*$K$3/1000000</f>
        <v>2.1827999999999999</v>
      </c>
      <c r="M8" s="39"/>
      <c r="N8" s="127"/>
      <c r="U8" s="127"/>
    </row>
    <row r="9" spans="1:21">
      <c r="A9" s="68"/>
      <c r="B9" s="170">
        <v>30</v>
      </c>
      <c r="C9" s="171">
        <f t="shared" ref="C9:C30" si="1">$C$4*B9/1000</f>
        <v>0.26028000000000001</v>
      </c>
      <c r="D9" s="171">
        <f t="shared" si="0"/>
        <v>1.4279999999999999</v>
      </c>
      <c r="E9" s="69"/>
      <c r="F9" s="172">
        <v>30</v>
      </c>
      <c r="G9" s="171">
        <f t="shared" ref="G9:G30" si="2">$G$4*F9/1000</f>
        <v>0.17685000000000001</v>
      </c>
      <c r="H9" s="171">
        <f t="shared" ref="H9:H30" si="3">F9*$G$3/1000000</f>
        <v>2.1419999999999999</v>
      </c>
      <c r="I9" s="69"/>
      <c r="J9" s="170">
        <v>30</v>
      </c>
      <c r="K9" s="171">
        <f t="shared" ref="K9:K30" si="4">$K$4*J9/1000</f>
        <v>6.4860000000000001E-2</v>
      </c>
      <c r="L9" s="171">
        <f t="shared" ref="L9:L30" si="5">J9*$K$3/1000000</f>
        <v>1.53</v>
      </c>
      <c r="M9" s="39"/>
      <c r="N9" s="127"/>
      <c r="U9" s="127"/>
    </row>
    <row r="10" spans="1:21">
      <c r="A10" s="68"/>
      <c r="B10" s="170">
        <v>2</v>
      </c>
      <c r="C10" s="171">
        <f t="shared" si="1"/>
        <v>1.7351999999999999E-2</v>
      </c>
      <c r="D10" s="171">
        <f t="shared" si="0"/>
        <v>9.5200000000000007E-2</v>
      </c>
      <c r="E10" s="69"/>
      <c r="F10" s="172">
        <v>2</v>
      </c>
      <c r="G10" s="171">
        <f t="shared" si="2"/>
        <v>1.1789999999999998E-2</v>
      </c>
      <c r="H10" s="171">
        <f t="shared" si="3"/>
        <v>0.14280000000000001</v>
      </c>
      <c r="I10" s="69"/>
      <c r="J10" s="170">
        <v>2</v>
      </c>
      <c r="K10" s="171">
        <f t="shared" si="4"/>
        <v>4.3239999999999997E-3</v>
      </c>
      <c r="L10" s="171">
        <f t="shared" si="5"/>
        <v>0.10199999999999999</v>
      </c>
      <c r="M10" s="39"/>
      <c r="N10" s="127"/>
      <c r="U10" s="127"/>
    </row>
    <row r="11" spans="1:21">
      <c r="A11" s="68"/>
      <c r="B11" s="170">
        <v>0.51</v>
      </c>
      <c r="C11" s="171">
        <f t="shared" si="1"/>
        <v>4.4247599999999998E-3</v>
      </c>
      <c r="D11" s="171">
        <f t="shared" si="0"/>
        <v>2.4275999999999999E-2</v>
      </c>
      <c r="E11" s="69"/>
      <c r="F11" s="172">
        <v>0.51</v>
      </c>
      <c r="G11" s="171">
        <f t="shared" si="2"/>
        <v>3.0064499999999995E-3</v>
      </c>
      <c r="H11" s="171">
        <f t="shared" si="3"/>
        <v>3.6414000000000002E-2</v>
      </c>
      <c r="I11" s="69"/>
      <c r="J11" s="170">
        <v>0.51</v>
      </c>
      <c r="K11" s="171">
        <f t="shared" si="4"/>
        <v>1.1026199999999999E-3</v>
      </c>
      <c r="L11" s="171">
        <f t="shared" si="5"/>
        <v>2.6009999999999998E-2</v>
      </c>
      <c r="M11" s="39"/>
      <c r="N11" s="127"/>
      <c r="U11" s="127"/>
    </row>
    <row r="12" spans="1:21">
      <c r="A12" s="68"/>
      <c r="B12" s="170">
        <v>0.45</v>
      </c>
      <c r="C12" s="171">
        <f t="shared" si="1"/>
        <v>3.9042000000000005E-3</v>
      </c>
      <c r="D12" s="171">
        <f t="shared" si="0"/>
        <v>2.1420000000000002E-2</v>
      </c>
      <c r="E12" s="69"/>
      <c r="F12" s="172">
        <v>0.45</v>
      </c>
      <c r="G12" s="171">
        <f t="shared" si="2"/>
        <v>2.6527499999999997E-3</v>
      </c>
      <c r="H12" s="171">
        <f t="shared" si="3"/>
        <v>3.2129999999999999E-2</v>
      </c>
      <c r="I12" s="69"/>
      <c r="J12" s="170">
        <v>0.45</v>
      </c>
      <c r="K12" s="171">
        <f t="shared" si="4"/>
        <v>9.7289999999999996E-4</v>
      </c>
      <c r="L12" s="171">
        <f t="shared" si="5"/>
        <v>2.2950000000000002E-2</v>
      </c>
      <c r="M12" s="39"/>
      <c r="N12" s="127"/>
      <c r="U12" s="127"/>
    </row>
    <row r="13" spans="1:21">
      <c r="A13" s="68"/>
      <c r="B13" s="170">
        <v>0.45</v>
      </c>
      <c r="C13" s="171">
        <f t="shared" si="1"/>
        <v>3.9042000000000005E-3</v>
      </c>
      <c r="D13" s="171">
        <f t="shared" si="0"/>
        <v>2.1420000000000002E-2</v>
      </c>
      <c r="E13" s="69"/>
      <c r="F13" s="172">
        <v>0.45</v>
      </c>
      <c r="G13" s="171">
        <f t="shared" si="2"/>
        <v>2.6527499999999997E-3</v>
      </c>
      <c r="H13" s="171">
        <f t="shared" si="3"/>
        <v>3.2129999999999999E-2</v>
      </c>
      <c r="I13" s="69"/>
      <c r="J13" s="170">
        <v>0.45</v>
      </c>
      <c r="K13" s="171">
        <f t="shared" si="4"/>
        <v>9.7289999999999996E-4</v>
      </c>
      <c r="L13" s="171">
        <f t="shared" si="5"/>
        <v>2.2950000000000002E-2</v>
      </c>
      <c r="M13" s="39"/>
      <c r="N13" s="127"/>
      <c r="U13" s="127"/>
    </row>
    <row r="14" spans="1:21" ht="18" customHeight="1">
      <c r="A14" s="68"/>
      <c r="B14" s="170">
        <v>0.45</v>
      </c>
      <c r="C14" s="171">
        <f t="shared" si="1"/>
        <v>3.9042000000000005E-3</v>
      </c>
      <c r="D14" s="171">
        <f t="shared" si="0"/>
        <v>2.1420000000000002E-2</v>
      </c>
      <c r="E14" s="69"/>
      <c r="F14" s="172">
        <v>0.45</v>
      </c>
      <c r="G14" s="171">
        <f t="shared" si="2"/>
        <v>2.6527499999999997E-3</v>
      </c>
      <c r="H14" s="171">
        <f t="shared" si="3"/>
        <v>3.2129999999999999E-2</v>
      </c>
      <c r="I14" s="69"/>
      <c r="J14" s="170">
        <v>0.45</v>
      </c>
      <c r="K14" s="171">
        <f t="shared" si="4"/>
        <v>9.7289999999999996E-4</v>
      </c>
      <c r="L14" s="171">
        <f t="shared" si="5"/>
        <v>2.2950000000000002E-2</v>
      </c>
      <c r="M14" s="39"/>
      <c r="U14" s="127"/>
    </row>
    <row r="15" spans="1:21" ht="18.600000000000001" customHeight="1">
      <c r="A15" s="68"/>
      <c r="B15" s="81">
        <v>5.3999999999999999E-2</v>
      </c>
      <c r="C15" s="40">
        <f t="shared" si="1"/>
        <v>4.6850399999999996E-4</v>
      </c>
      <c r="D15" s="40">
        <f t="shared" si="0"/>
        <v>2.5704E-3</v>
      </c>
      <c r="E15" s="69"/>
      <c r="F15" s="104">
        <v>5.3999999999999999E-2</v>
      </c>
      <c r="G15" s="40">
        <f t="shared" si="2"/>
        <v>3.1832999999999997E-4</v>
      </c>
      <c r="H15" s="40">
        <f t="shared" si="3"/>
        <v>3.8555999999999998E-3</v>
      </c>
      <c r="I15" s="70"/>
      <c r="J15" s="81">
        <v>5.3999999999999999E-2</v>
      </c>
      <c r="K15" s="40">
        <f t="shared" si="4"/>
        <v>1.1674799999999999E-4</v>
      </c>
      <c r="L15" s="40">
        <f t="shared" si="5"/>
        <v>2.7539999999999999E-3</v>
      </c>
      <c r="U15" s="127"/>
    </row>
    <row r="16" spans="1:21">
      <c r="A16" s="68"/>
      <c r="B16" s="101">
        <v>1.5E-3</v>
      </c>
      <c r="C16" s="40">
        <f t="shared" si="1"/>
        <v>1.3014000000000001E-5</v>
      </c>
      <c r="D16" s="40">
        <f t="shared" si="0"/>
        <v>7.1400000000000001E-5</v>
      </c>
      <c r="E16" s="69"/>
      <c r="F16" s="105">
        <v>1.5E-3</v>
      </c>
      <c r="G16" s="40">
        <f t="shared" si="2"/>
        <v>8.8425000000000005E-6</v>
      </c>
      <c r="H16" s="40">
        <f t="shared" si="3"/>
        <v>1.0710000000000001E-4</v>
      </c>
      <c r="I16" s="70"/>
      <c r="J16" s="101">
        <v>1.5E-3</v>
      </c>
      <c r="K16" s="40">
        <f t="shared" si="4"/>
        <v>3.2429999999999997E-6</v>
      </c>
      <c r="L16" s="40">
        <f t="shared" si="5"/>
        <v>7.6500000000000003E-5</v>
      </c>
      <c r="U16" s="127"/>
    </row>
    <row r="17" spans="1:21">
      <c r="A17" s="68"/>
      <c r="B17" s="102">
        <v>2.5000000000000001E-4</v>
      </c>
      <c r="C17" s="40">
        <f t="shared" si="1"/>
        <v>2.1689999999999999E-6</v>
      </c>
      <c r="D17" s="40">
        <f t="shared" si="0"/>
        <v>1.19E-5</v>
      </c>
      <c r="E17" s="69"/>
      <c r="F17" s="106">
        <v>2.5000000000000001E-4</v>
      </c>
      <c r="G17" s="40">
        <f t="shared" si="2"/>
        <v>1.4737500000000001E-6</v>
      </c>
      <c r="H17" s="40">
        <f t="shared" si="3"/>
        <v>1.785E-5</v>
      </c>
      <c r="I17" s="70"/>
      <c r="J17" s="102">
        <v>2.5000000000000001E-4</v>
      </c>
      <c r="K17" s="40">
        <f t="shared" si="4"/>
        <v>5.4049999999999995E-7</v>
      </c>
      <c r="L17" s="40">
        <f t="shared" si="5"/>
        <v>1.275E-5</v>
      </c>
      <c r="U17" s="127"/>
    </row>
    <row r="18" spans="1:21">
      <c r="A18" s="68"/>
      <c r="B18" s="102">
        <v>0.1</v>
      </c>
      <c r="C18" s="40">
        <f t="shared" si="1"/>
        <v>8.6760000000000006E-4</v>
      </c>
      <c r="D18" s="40">
        <f t="shared" si="0"/>
        <v>4.7600000000000003E-3</v>
      </c>
      <c r="E18" s="69"/>
      <c r="F18" s="106">
        <v>0.1</v>
      </c>
      <c r="G18" s="40">
        <f t="shared" si="2"/>
        <v>5.8950000000000007E-4</v>
      </c>
      <c r="H18" s="40">
        <f t="shared" si="3"/>
        <v>7.1399999999999996E-3</v>
      </c>
      <c r="I18" s="70"/>
      <c r="J18" s="102">
        <v>0.1</v>
      </c>
      <c r="K18" s="40">
        <f t="shared" si="4"/>
        <v>2.162E-4</v>
      </c>
      <c r="L18" s="40">
        <f t="shared" si="5"/>
        <v>5.1000000000000004E-3</v>
      </c>
      <c r="U18" s="127"/>
    </row>
    <row r="19" spans="1:21">
      <c r="A19" s="68"/>
      <c r="B19" s="102">
        <v>0.12</v>
      </c>
      <c r="C19" s="40">
        <f t="shared" si="1"/>
        <v>1.04112E-3</v>
      </c>
      <c r="D19" s="40">
        <f t="shared" si="0"/>
        <v>5.7120000000000001E-3</v>
      </c>
      <c r="E19" s="69"/>
      <c r="F19" s="106">
        <v>0.12</v>
      </c>
      <c r="G19" s="40">
        <f t="shared" si="2"/>
        <v>7.0739999999999996E-4</v>
      </c>
      <c r="H19" s="40">
        <f t="shared" si="3"/>
        <v>8.5679999999999992E-3</v>
      </c>
      <c r="I19" s="70"/>
      <c r="J19" s="102">
        <v>0.12</v>
      </c>
      <c r="K19" s="40">
        <f t="shared" si="4"/>
        <v>2.5944E-4</v>
      </c>
      <c r="L19" s="40">
        <f t="shared" si="5"/>
        <v>6.1199999999999996E-3</v>
      </c>
      <c r="U19" s="127"/>
    </row>
    <row r="20" spans="1:21">
      <c r="A20" s="68"/>
      <c r="B20" s="102">
        <v>7.6000000000000004E-4</v>
      </c>
      <c r="C20" s="40">
        <f t="shared" si="1"/>
        <v>6.5937600000000009E-6</v>
      </c>
      <c r="D20" s="40">
        <f t="shared" si="0"/>
        <v>3.6176000000000001E-5</v>
      </c>
      <c r="E20" s="69"/>
      <c r="F20" s="106">
        <v>7.6000000000000004E-4</v>
      </c>
      <c r="G20" s="40">
        <f t="shared" si="2"/>
        <v>4.4801999999999999E-6</v>
      </c>
      <c r="H20" s="40">
        <f t="shared" si="3"/>
        <v>5.4264000000000001E-5</v>
      </c>
      <c r="I20" s="70"/>
      <c r="J20" s="102">
        <v>7.6000000000000004E-4</v>
      </c>
      <c r="K20" s="40">
        <f t="shared" si="4"/>
        <v>1.6431200000000001E-6</v>
      </c>
      <c r="L20" s="40">
        <f t="shared" si="5"/>
        <v>3.8760000000000008E-5</v>
      </c>
      <c r="U20" s="127"/>
    </row>
    <row r="21" spans="1:21">
      <c r="A21" s="68"/>
      <c r="B21" s="102">
        <v>7.6000000000000004E-4</v>
      </c>
      <c r="C21" s="40">
        <f t="shared" si="1"/>
        <v>6.5937600000000009E-6</v>
      </c>
      <c r="D21" s="40">
        <f t="shared" si="0"/>
        <v>3.6176000000000001E-5</v>
      </c>
      <c r="E21" s="69"/>
      <c r="F21" s="106">
        <v>7.6000000000000004E-4</v>
      </c>
      <c r="G21" s="40">
        <f t="shared" si="2"/>
        <v>4.4801999999999999E-6</v>
      </c>
      <c r="H21" s="40">
        <f t="shared" si="3"/>
        <v>5.4264000000000001E-5</v>
      </c>
      <c r="I21" s="70"/>
      <c r="J21" s="102">
        <v>7.6000000000000004E-4</v>
      </c>
      <c r="K21" s="40">
        <f t="shared" si="4"/>
        <v>1.6431200000000001E-6</v>
      </c>
      <c r="L21" s="40">
        <f t="shared" si="5"/>
        <v>3.8760000000000008E-5</v>
      </c>
      <c r="U21" s="127"/>
    </row>
    <row r="22" spans="1:21">
      <c r="A22" s="68"/>
      <c r="B22" s="101">
        <v>5.1000000000000004E-4</v>
      </c>
      <c r="C22" s="40">
        <f t="shared" si="1"/>
        <v>4.424760000000001E-6</v>
      </c>
      <c r="D22" s="40">
        <f t="shared" si="0"/>
        <v>2.4276000000000003E-5</v>
      </c>
      <c r="E22" s="69"/>
      <c r="F22" s="105">
        <v>5.1000000000000004E-4</v>
      </c>
      <c r="G22" s="40">
        <f t="shared" si="2"/>
        <v>3.0064499999999998E-6</v>
      </c>
      <c r="H22" s="40">
        <f t="shared" si="3"/>
        <v>3.6414000000000001E-5</v>
      </c>
      <c r="I22" s="70"/>
      <c r="J22" s="101">
        <v>5.1000000000000004E-4</v>
      </c>
      <c r="K22" s="40">
        <f t="shared" si="4"/>
        <v>1.1026200000000002E-6</v>
      </c>
      <c r="L22" s="40">
        <f t="shared" si="5"/>
        <v>2.601E-5</v>
      </c>
      <c r="U22" s="127"/>
    </row>
    <row r="23" spans="1:21">
      <c r="A23" s="68"/>
      <c r="B23" s="103">
        <v>1.0999999999999999E-2</v>
      </c>
      <c r="C23" s="40">
        <f t="shared" si="1"/>
        <v>9.5435999999999999E-5</v>
      </c>
      <c r="D23" s="40">
        <f t="shared" si="0"/>
        <v>5.2360000000000004E-4</v>
      </c>
      <c r="E23" s="69"/>
      <c r="F23" s="107">
        <v>1.0999999999999999E-2</v>
      </c>
      <c r="G23" s="40">
        <f t="shared" si="2"/>
        <v>6.484499999999998E-5</v>
      </c>
      <c r="H23" s="40">
        <f t="shared" si="3"/>
        <v>7.8540000000000001E-4</v>
      </c>
      <c r="I23" s="70"/>
      <c r="J23" s="103">
        <v>1.0999999999999999E-2</v>
      </c>
      <c r="K23" s="40">
        <f t="shared" si="4"/>
        <v>2.3781999999999997E-5</v>
      </c>
      <c r="L23" s="40">
        <f t="shared" si="5"/>
        <v>5.6099999999999998E-4</v>
      </c>
      <c r="U23" s="127"/>
    </row>
    <row r="24" spans="1:21">
      <c r="A24" s="68"/>
      <c r="B24" s="102">
        <v>1.4999999999999999E-2</v>
      </c>
      <c r="C24" s="40">
        <f t="shared" si="1"/>
        <v>1.3014E-4</v>
      </c>
      <c r="D24" s="40">
        <f t="shared" si="0"/>
        <v>7.1400000000000001E-4</v>
      </c>
      <c r="E24" s="69"/>
      <c r="F24" s="106">
        <v>1.4999999999999999E-2</v>
      </c>
      <c r="G24" s="40">
        <f t="shared" si="2"/>
        <v>8.8424999999999994E-5</v>
      </c>
      <c r="H24" s="40">
        <f t="shared" si="3"/>
        <v>1.0709999999999999E-3</v>
      </c>
      <c r="I24" s="70"/>
      <c r="J24" s="102">
        <v>1.4999999999999999E-2</v>
      </c>
      <c r="K24" s="40">
        <f t="shared" si="4"/>
        <v>3.243E-5</v>
      </c>
      <c r="L24" s="40">
        <f t="shared" si="5"/>
        <v>7.6499999999999995E-4</v>
      </c>
      <c r="U24" s="127"/>
    </row>
    <row r="25" spans="1:21">
      <c r="A25" s="68"/>
      <c r="B25" s="81"/>
      <c r="C25" s="40">
        <f t="shared" si="1"/>
        <v>0</v>
      </c>
      <c r="D25" s="40">
        <f t="shared" si="0"/>
        <v>0</v>
      </c>
      <c r="E25" s="69"/>
      <c r="F25" s="104"/>
      <c r="G25" s="40">
        <f t="shared" si="2"/>
        <v>0</v>
      </c>
      <c r="H25" s="40">
        <f t="shared" si="3"/>
        <v>0</v>
      </c>
      <c r="I25" s="70"/>
      <c r="J25" s="81"/>
      <c r="K25" s="40">
        <f t="shared" si="4"/>
        <v>0</v>
      </c>
      <c r="L25" s="40">
        <f t="shared" si="5"/>
        <v>0</v>
      </c>
      <c r="U25" s="127"/>
    </row>
    <row r="26" spans="1:21">
      <c r="A26" s="68"/>
      <c r="B26" s="102">
        <v>0.5</v>
      </c>
      <c r="C26" s="40">
        <f t="shared" si="1"/>
        <v>4.3379999999999998E-3</v>
      </c>
      <c r="D26" s="40">
        <f t="shared" si="0"/>
        <v>2.3800000000000002E-2</v>
      </c>
      <c r="E26" s="69"/>
      <c r="F26" s="106">
        <v>0.5</v>
      </c>
      <c r="G26" s="40">
        <f t="shared" si="2"/>
        <v>2.9474999999999996E-3</v>
      </c>
      <c r="H26" s="40">
        <f t="shared" si="3"/>
        <v>3.5700000000000003E-2</v>
      </c>
      <c r="I26" s="70"/>
      <c r="J26" s="102">
        <v>0.5</v>
      </c>
      <c r="K26" s="40">
        <f t="shared" si="4"/>
        <v>1.0809999999999999E-3</v>
      </c>
      <c r="L26" s="40">
        <f t="shared" si="5"/>
        <v>2.5499999999999998E-2</v>
      </c>
      <c r="U26" s="127"/>
    </row>
    <row r="27" spans="1:21">
      <c r="A27" s="68"/>
      <c r="B27" s="101">
        <v>0.56000000000000005</v>
      </c>
      <c r="C27" s="40">
        <f t="shared" si="1"/>
        <v>4.8585600000000005E-3</v>
      </c>
      <c r="D27" s="40">
        <f t="shared" si="0"/>
        <v>2.6656000000000003E-2</v>
      </c>
      <c r="E27" s="69"/>
      <c r="F27" s="105">
        <v>0.56000000000000005</v>
      </c>
      <c r="G27" s="40">
        <f t="shared" si="2"/>
        <v>3.3012000000000002E-3</v>
      </c>
      <c r="H27" s="40">
        <f t="shared" si="3"/>
        <v>3.9984000000000006E-2</v>
      </c>
      <c r="I27" s="70"/>
      <c r="J27" s="101">
        <v>0.56000000000000005</v>
      </c>
      <c r="K27" s="40">
        <f t="shared" si="4"/>
        <v>1.21072E-3</v>
      </c>
      <c r="L27" s="40">
        <f t="shared" si="5"/>
        <v>2.8560000000000002E-2</v>
      </c>
      <c r="U27" s="127"/>
    </row>
    <row r="28" spans="1:21">
      <c r="A28" s="68"/>
      <c r="B28" s="102">
        <v>0.84</v>
      </c>
      <c r="C28" s="40">
        <f t="shared" si="1"/>
        <v>7.2878400000000003E-3</v>
      </c>
      <c r="D28" s="40">
        <f t="shared" si="0"/>
        <v>3.9983999999999999E-2</v>
      </c>
      <c r="E28" s="69"/>
      <c r="F28" s="106">
        <v>0.84</v>
      </c>
      <c r="G28" s="40">
        <f t="shared" si="2"/>
        <v>4.9517999999999993E-3</v>
      </c>
      <c r="H28" s="40">
        <f t="shared" si="3"/>
        <v>5.9976000000000002E-2</v>
      </c>
      <c r="I28" s="70"/>
      <c r="J28" s="102">
        <v>0.84</v>
      </c>
      <c r="K28" s="40">
        <f t="shared" si="4"/>
        <v>1.8160799999999999E-3</v>
      </c>
      <c r="L28" s="40">
        <f t="shared" si="5"/>
        <v>4.2840000000000003E-2</v>
      </c>
      <c r="U28" s="127"/>
    </row>
    <row r="29" spans="1:21">
      <c r="A29" s="68"/>
      <c r="B29" s="102">
        <v>0.84</v>
      </c>
      <c r="C29" s="40">
        <f t="shared" si="1"/>
        <v>7.2878400000000003E-3</v>
      </c>
      <c r="D29" s="40">
        <f t="shared" si="0"/>
        <v>3.9983999999999999E-2</v>
      </c>
      <c r="E29" s="69"/>
      <c r="F29" s="106">
        <v>0.84</v>
      </c>
      <c r="G29" s="40">
        <f t="shared" si="2"/>
        <v>4.9517999999999993E-3</v>
      </c>
      <c r="H29" s="40">
        <f t="shared" si="3"/>
        <v>5.9976000000000002E-2</v>
      </c>
      <c r="I29" s="70"/>
      <c r="J29" s="102">
        <v>0.84</v>
      </c>
      <c r="K29" s="40">
        <f t="shared" si="4"/>
        <v>1.8160799999999999E-3</v>
      </c>
      <c r="L29" s="40">
        <f t="shared" si="5"/>
        <v>4.2840000000000003E-2</v>
      </c>
      <c r="U29" s="127"/>
    </row>
    <row r="30" spans="1:21">
      <c r="A30" s="68"/>
      <c r="B30" s="101">
        <v>0.84</v>
      </c>
      <c r="C30" s="40">
        <f t="shared" si="1"/>
        <v>7.2878400000000003E-3</v>
      </c>
      <c r="D30" s="40">
        <f t="shared" si="0"/>
        <v>3.9983999999999999E-2</v>
      </c>
      <c r="E30" s="69"/>
      <c r="F30" s="105">
        <v>0.84</v>
      </c>
      <c r="G30" s="40">
        <f t="shared" si="2"/>
        <v>4.9517999999999993E-3</v>
      </c>
      <c r="H30" s="40">
        <f t="shared" si="3"/>
        <v>5.9976000000000002E-2</v>
      </c>
      <c r="I30" s="70"/>
      <c r="J30" s="101">
        <v>0.84</v>
      </c>
      <c r="K30" s="40">
        <f t="shared" si="4"/>
        <v>1.8160799999999999E-3</v>
      </c>
      <c r="L30" s="40">
        <f t="shared" si="5"/>
        <v>4.2840000000000003E-2</v>
      </c>
      <c r="U30" s="127"/>
    </row>
    <row r="31" spans="1:21">
      <c r="A31" s="72"/>
      <c r="B31" s="73"/>
      <c r="C31" s="74"/>
      <c r="D31" s="71"/>
      <c r="E31" s="69"/>
      <c r="F31" s="73"/>
      <c r="G31" s="74"/>
      <c r="H31" s="71"/>
      <c r="I31" s="70"/>
      <c r="J31" s="101"/>
      <c r="K31" s="74"/>
      <c r="L31" s="71"/>
      <c r="U31" s="127"/>
    </row>
    <row r="32" spans="1:21">
      <c r="A32" s="75"/>
      <c r="B32" s="76"/>
      <c r="C32" s="77"/>
      <c r="D32" s="40">
        <f>C38</f>
        <v>2668.4179199999999</v>
      </c>
      <c r="E32" s="69"/>
      <c r="F32" s="76"/>
      <c r="G32" s="77"/>
      <c r="H32" s="40">
        <f>G38</f>
        <v>4002.6268800000003</v>
      </c>
      <c r="I32" s="70"/>
      <c r="J32" s="76"/>
      <c r="K32" s="77"/>
      <c r="L32" s="40">
        <f>K38</f>
        <v>2859.0191999999997</v>
      </c>
      <c r="U32" s="127"/>
    </row>
    <row r="33" spans="1:14">
      <c r="A33" s="75"/>
      <c r="B33" s="78"/>
      <c r="C33" s="79"/>
      <c r="D33" s="79"/>
      <c r="E33" s="69"/>
      <c r="F33" s="78"/>
      <c r="G33" s="79"/>
      <c r="H33" s="79"/>
      <c r="I33" s="70"/>
      <c r="J33" s="78"/>
      <c r="K33" s="79"/>
      <c r="L33" s="79"/>
      <c r="N33" s="127"/>
    </row>
    <row r="34" spans="1:14">
      <c r="A34" s="75"/>
      <c r="B34" s="78"/>
      <c r="C34" s="76">
        <f>C3</f>
        <v>47600</v>
      </c>
      <c r="D34" s="76" t="s">
        <v>100</v>
      </c>
      <c r="E34" s="70"/>
      <c r="F34" s="78"/>
      <c r="G34" s="76">
        <f>G3</f>
        <v>71400</v>
      </c>
      <c r="H34" s="76" t="s">
        <v>100</v>
      </c>
      <c r="I34" s="70"/>
      <c r="J34" s="78"/>
      <c r="K34" s="76">
        <f>K3</f>
        <v>51000</v>
      </c>
      <c r="L34" s="76" t="s">
        <v>100</v>
      </c>
      <c r="N34" s="127"/>
    </row>
    <row r="35" spans="1:14">
      <c r="A35" s="75"/>
      <c r="B35" s="78"/>
      <c r="C35" s="80">
        <v>15.3</v>
      </c>
      <c r="D35" s="76" t="s">
        <v>54</v>
      </c>
      <c r="E35" s="70"/>
      <c r="F35" s="78"/>
      <c r="G35" s="80">
        <v>15.3</v>
      </c>
      <c r="H35" s="76" t="s">
        <v>54</v>
      </c>
      <c r="I35" s="70"/>
      <c r="J35" s="78"/>
      <c r="K35" s="80">
        <v>15.3</v>
      </c>
      <c r="L35" s="76" t="s">
        <v>54</v>
      </c>
      <c r="N35" s="127"/>
    </row>
    <row r="36" spans="1:14">
      <c r="A36" s="75"/>
      <c r="B36" s="78"/>
      <c r="C36" s="76">
        <v>1</v>
      </c>
      <c r="D36" s="76"/>
      <c r="E36" s="70"/>
      <c r="F36" s="78"/>
      <c r="G36" s="76">
        <v>1</v>
      </c>
      <c r="H36" s="76"/>
      <c r="I36" s="70"/>
      <c r="J36" s="78"/>
      <c r="K36" s="76">
        <v>1</v>
      </c>
      <c r="L36" s="76"/>
      <c r="N36" s="127"/>
    </row>
    <row r="37" spans="1:14">
      <c r="A37" s="75"/>
      <c r="B37" s="78"/>
      <c r="C37" s="76">
        <f>(C3*C35*C36)/1000</f>
        <v>728.28</v>
      </c>
      <c r="D37" s="76"/>
      <c r="E37" s="70"/>
      <c r="F37" s="78"/>
      <c r="G37" s="76">
        <f>(G3*G35*G36)/1000</f>
        <v>1092.42</v>
      </c>
      <c r="H37" s="76"/>
      <c r="I37" s="70"/>
      <c r="J37" s="78"/>
      <c r="K37" s="76">
        <f>(K3*K35*K36)/1000</f>
        <v>780.3</v>
      </c>
      <c r="L37" s="76"/>
      <c r="N37" s="127"/>
    </row>
    <row r="38" spans="1:14">
      <c r="A38" s="69"/>
      <c r="B38" s="78"/>
      <c r="C38" s="77">
        <f>C37*3.664</f>
        <v>2668.4179199999999</v>
      </c>
      <c r="D38" s="76" t="s">
        <v>58</v>
      </c>
      <c r="E38" s="70"/>
      <c r="F38" s="78"/>
      <c r="G38" s="77">
        <f>G37*3.664</f>
        <v>4002.6268800000003</v>
      </c>
      <c r="H38" s="76" t="s">
        <v>58</v>
      </c>
      <c r="I38" s="70"/>
      <c r="J38" s="78"/>
      <c r="K38" s="77">
        <f>K37*3.664</f>
        <v>2859.0191999999997</v>
      </c>
      <c r="L38" s="76" t="s">
        <v>58</v>
      </c>
      <c r="N38" s="127"/>
    </row>
    <row r="39" spans="1:14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4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4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</sheetData>
  <mergeCells count="9">
    <mergeCell ref="B3:B6"/>
    <mergeCell ref="F3:F6"/>
    <mergeCell ref="J3:J6"/>
    <mergeCell ref="B1:D1"/>
    <mergeCell ref="F1:H1"/>
    <mergeCell ref="J1:L1"/>
    <mergeCell ref="B2:D2"/>
    <mergeCell ref="F2:H2"/>
    <mergeCell ref="J2:L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Normal="100" workbookViewId="0">
      <selection activeCell="D51" sqref="D51"/>
    </sheetView>
  </sheetViews>
  <sheetFormatPr defaultRowHeight="14.4"/>
  <cols>
    <col min="1" max="1" width="20.5546875" style="38" customWidth="1"/>
    <col min="2" max="2" width="26.44140625" style="38" customWidth="1"/>
    <col min="3" max="3" width="12.5546875" style="38" customWidth="1"/>
    <col min="4" max="5" width="11.33203125" style="38" customWidth="1"/>
    <col min="6" max="6" width="13.44140625" style="38" customWidth="1"/>
    <col min="7" max="7" width="2.6640625" style="38" customWidth="1"/>
    <col min="8" max="8" width="11.88671875" style="38" customWidth="1"/>
    <col min="9" max="10" width="10.6640625" style="38" customWidth="1"/>
    <col min="11" max="11" width="2.21875" style="38" customWidth="1"/>
    <col min="12" max="13" width="11.77734375" style="38" customWidth="1"/>
    <col min="14" max="14" width="6.44140625" style="38" customWidth="1"/>
    <col min="15" max="15" width="5.44140625" style="38" customWidth="1"/>
    <col min="16" max="16" width="14.109375" style="38" customWidth="1"/>
    <col min="17" max="17" width="18.5546875" style="38" customWidth="1"/>
    <col min="18" max="18" width="12.6640625" style="38" customWidth="1"/>
    <col min="19" max="20" width="14.44140625" style="38" customWidth="1"/>
    <col min="21" max="21" width="3.21875" style="38" customWidth="1"/>
    <col min="22" max="22" width="13.44140625" style="38" customWidth="1"/>
    <col min="23" max="23" width="17.77734375" style="38" customWidth="1"/>
    <col min="24" max="24" width="11.5546875" style="38" customWidth="1"/>
    <col min="25" max="26" width="13.44140625" style="38" customWidth="1"/>
    <col min="27" max="28" width="14" style="38" customWidth="1"/>
    <col min="29" max="16384" width="8.88671875" style="38"/>
  </cols>
  <sheetData>
    <row r="1" spans="1:28" s="25" customFormat="1">
      <c r="A1" s="189" t="str">
        <f>Algandmed!B2</f>
        <v>HA-10</v>
      </c>
      <c r="B1" s="189"/>
      <c r="C1" s="189"/>
      <c r="D1" s="189"/>
      <c r="E1" s="189"/>
      <c r="F1" s="189"/>
      <c r="G1" s="189"/>
      <c r="H1" s="189"/>
      <c r="I1" s="189"/>
      <c r="J1" s="189"/>
      <c r="K1" s="193"/>
      <c r="L1" s="190"/>
      <c r="M1" s="190"/>
      <c r="N1" s="190"/>
      <c r="O1" s="62"/>
    </row>
    <row r="2" spans="1:28">
      <c r="A2" s="48"/>
      <c r="B2" s="46"/>
      <c r="C2" s="49"/>
      <c r="D2" s="278" t="s">
        <v>177</v>
      </c>
      <c r="E2" s="278"/>
      <c r="F2" s="279"/>
      <c r="G2" s="41"/>
      <c r="H2" s="280" t="str">
        <f>Algandmed!D3</f>
        <v>Tükkturvas</v>
      </c>
      <c r="I2" s="280"/>
      <c r="J2" s="280"/>
      <c r="K2" s="194"/>
    </row>
    <row r="3" spans="1:28">
      <c r="A3" s="50"/>
      <c r="B3" s="47"/>
      <c r="C3" s="51"/>
      <c r="D3" s="285" t="s">
        <v>5</v>
      </c>
      <c r="E3" s="36">
        <f>E5*E6</f>
        <v>123038.5</v>
      </c>
      <c r="F3" s="52" t="s">
        <v>6</v>
      </c>
      <c r="G3" s="37"/>
      <c r="H3" s="285" t="s">
        <v>5</v>
      </c>
      <c r="I3" s="55">
        <f>I5*I6</f>
        <v>112297.5</v>
      </c>
      <c r="J3" s="56" t="s">
        <v>6</v>
      </c>
      <c r="K3" s="186"/>
    </row>
    <row r="4" spans="1:28">
      <c r="A4" s="281" t="s">
        <v>7</v>
      </c>
      <c r="B4" s="281"/>
      <c r="C4" s="281"/>
      <c r="D4" s="286"/>
      <c r="E4" s="54">
        <f>Algandmed!K2</f>
        <v>7.0590000000000002</v>
      </c>
      <c r="F4" s="45" t="s">
        <v>8</v>
      </c>
      <c r="G4" s="37"/>
      <c r="H4" s="286"/>
      <c r="I4" s="54">
        <f>Algandmed!K2</f>
        <v>7.0590000000000002</v>
      </c>
      <c r="J4" s="45" t="s">
        <v>8</v>
      </c>
      <c r="K4" s="186"/>
    </row>
    <row r="5" spans="1:28">
      <c r="A5" s="282" t="s">
        <v>107</v>
      </c>
      <c r="B5" s="282"/>
      <c r="C5" s="282"/>
      <c r="D5" s="286"/>
      <c r="E5" s="53">
        <f>Algandmed!L2</f>
        <v>14950</v>
      </c>
      <c r="F5" s="45" t="s">
        <v>58</v>
      </c>
      <c r="G5" s="37"/>
      <c r="H5" s="286"/>
      <c r="I5" s="53">
        <f>Algandmed!L3</f>
        <v>10850</v>
      </c>
      <c r="J5" s="45" t="s">
        <v>58</v>
      </c>
      <c r="K5" s="186"/>
      <c r="M5" s="197"/>
    </row>
    <row r="6" spans="1:28">
      <c r="A6" s="283" t="s">
        <v>67</v>
      </c>
      <c r="B6" s="283"/>
      <c r="C6" s="284"/>
      <c r="D6" s="287"/>
      <c r="E6" s="116">
        <f>Algandmed!N2</f>
        <v>8.23</v>
      </c>
      <c r="F6" s="54" t="s">
        <v>108</v>
      </c>
      <c r="G6" s="37"/>
      <c r="H6" s="287"/>
      <c r="I6" s="116">
        <f>Algandmed!N3</f>
        <v>10.35</v>
      </c>
      <c r="J6" s="54" t="s">
        <v>108</v>
      </c>
      <c r="K6" s="195"/>
      <c r="L6" s="288" t="s">
        <v>140</v>
      </c>
      <c r="M6" s="288"/>
    </row>
    <row r="7" spans="1:28" ht="72">
      <c r="A7" s="55" t="s">
        <v>9</v>
      </c>
      <c r="B7" s="63" t="s">
        <v>10</v>
      </c>
      <c r="C7" s="63" t="s">
        <v>11</v>
      </c>
      <c r="D7" s="45" t="s">
        <v>12</v>
      </c>
      <c r="E7" s="45" t="s">
        <v>14</v>
      </c>
      <c r="F7" s="45" t="s">
        <v>13</v>
      </c>
      <c r="G7" s="37"/>
      <c r="H7" s="45" t="s">
        <v>12</v>
      </c>
      <c r="I7" s="45" t="s">
        <v>14</v>
      </c>
      <c r="J7" s="45" t="s">
        <v>13</v>
      </c>
      <c r="K7" s="132"/>
      <c r="L7" s="45" t="s">
        <v>14</v>
      </c>
      <c r="M7" s="45" t="s">
        <v>13</v>
      </c>
      <c r="P7" s="196" t="s">
        <v>207</v>
      </c>
      <c r="V7" s="196"/>
    </row>
    <row r="8" spans="1:28">
      <c r="A8" s="83" t="s">
        <v>15</v>
      </c>
      <c r="B8" s="84" t="s">
        <v>16</v>
      </c>
      <c r="C8" s="129" t="s">
        <v>17</v>
      </c>
      <c r="D8" s="228">
        <f>'Eriheitmete arvutus'!C20</f>
        <v>89.812617123471995</v>
      </c>
      <c r="E8" s="118">
        <f>$E$4*D8/1000</f>
        <v>0.63398726427458885</v>
      </c>
      <c r="F8" s="117">
        <f>D8*$E$3/1000000</f>
        <v>11.050409691946308</v>
      </c>
      <c r="G8" s="120"/>
      <c r="H8" s="225">
        <f>'Eriheitmete arvutus'!F31</f>
        <v>120.1778352937887</v>
      </c>
      <c r="I8" s="118">
        <f>$I$4*H8/1000</f>
        <v>0.84833533933885452</v>
      </c>
      <c r="J8" s="117">
        <f>H8*$I$3/1000000</f>
        <v>13.495670458904236</v>
      </c>
      <c r="K8" s="117"/>
      <c r="L8" s="217">
        <f>IF(E8&lt;I8,I8,E8)</f>
        <v>0.84833533933885452</v>
      </c>
      <c r="M8" s="198">
        <f>IF(F8&lt;J8,J8,F8)</f>
        <v>13.495670458904236</v>
      </c>
      <c r="N8" s="39"/>
      <c r="P8" s="124" t="s">
        <v>203</v>
      </c>
      <c r="Q8" s="236"/>
      <c r="R8" s="236"/>
      <c r="S8" s="289"/>
      <c r="T8" s="289"/>
      <c r="U8" s="236"/>
      <c r="V8" s="124" t="s">
        <v>204</v>
      </c>
      <c r="W8" s="236"/>
      <c r="X8" s="236"/>
      <c r="Y8" s="289"/>
      <c r="Z8" s="289"/>
      <c r="AA8" s="125"/>
      <c r="AB8" s="125"/>
    </row>
    <row r="9" spans="1:28" ht="14.4" customHeight="1">
      <c r="A9" s="83" t="s">
        <v>18</v>
      </c>
      <c r="B9" s="84" t="s">
        <v>19</v>
      </c>
      <c r="C9" s="129" t="s">
        <v>17</v>
      </c>
      <c r="D9" s="228">
        <f>'Eriheitmete arvutus'!C21</f>
        <v>1398.9863610379446</v>
      </c>
      <c r="E9" s="118">
        <f t="shared" ref="E9:E14" si="0">$E$4*D9/1000</f>
        <v>9.8754447225668507</v>
      </c>
      <c r="F9" s="117">
        <f t="shared" ref="F9:F14" si="1">D9*$E$3/1000000</f>
        <v>172.12918338256713</v>
      </c>
      <c r="G9" s="120"/>
      <c r="H9" s="225">
        <f>'Eriheitmete arvutus'!F32</f>
        <v>1398.9863610379443</v>
      </c>
      <c r="I9" s="118">
        <f>$I$4*H9/1000</f>
        <v>9.8754447225668507</v>
      </c>
      <c r="J9" s="117">
        <f>H9*$I$3/1000000</f>
        <v>157.10267087865856</v>
      </c>
      <c r="K9" s="117"/>
      <c r="L9" s="217">
        <f t="shared" ref="L9:L30" si="2">IF(E9&lt;I9,I9,E9)</f>
        <v>9.8754447225668507</v>
      </c>
      <c r="M9" s="198">
        <f t="shared" ref="M9:M31" si="3">IF(F9&lt;J9,J9,F9)</f>
        <v>172.12918338256713</v>
      </c>
      <c r="N9" s="39"/>
      <c r="P9" s="290" t="s">
        <v>145</v>
      </c>
      <c r="Q9" s="290" t="s">
        <v>91</v>
      </c>
      <c r="R9" s="290" t="s">
        <v>92</v>
      </c>
      <c r="S9" s="292" t="s">
        <v>178</v>
      </c>
      <c r="T9" s="292" t="s">
        <v>142</v>
      </c>
      <c r="V9" s="290" t="s">
        <v>145</v>
      </c>
      <c r="W9" s="290" t="s">
        <v>91</v>
      </c>
      <c r="X9" s="290" t="s">
        <v>92</v>
      </c>
      <c r="Y9" s="292" t="s">
        <v>141</v>
      </c>
      <c r="Z9" s="292" t="s">
        <v>142</v>
      </c>
      <c r="AA9" s="292" t="s">
        <v>143</v>
      </c>
      <c r="AB9" s="292" t="s">
        <v>144</v>
      </c>
    </row>
    <row r="10" spans="1:28">
      <c r="A10" s="85" t="s">
        <v>20</v>
      </c>
      <c r="B10" s="84" t="s">
        <v>134</v>
      </c>
      <c r="C10" s="129" t="s">
        <v>17</v>
      </c>
      <c r="D10" s="228">
        <f>'Eriheitmete arvutus'!C23</f>
        <v>4.5680555261076279</v>
      </c>
      <c r="E10" s="118">
        <f t="shared" si="0"/>
        <v>3.2245903958793745E-2</v>
      </c>
      <c r="F10" s="117">
        <f t="shared" si="1"/>
        <v>0.56204669984899336</v>
      </c>
      <c r="G10" s="120"/>
      <c r="H10" s="225">
        <f>'Eriheitmete arvutus'!F33</f>
        <v>5.3741829718913277</v>
      </c>
      <c r="I10" s="118">
        <f>$I$4*H10/1000</f>
        <v>3.7936357598580883E-2</v>
      </c>
      <c r="J10" s="117">
        <f>H10*$I$3/1000000</f>
        <v>0.60350731228596632</v>
      </c>
      <c r="K10" s="117"/>
      <c r="L10" s="217">
        <f t="shared" si="2"/>
        <v>3.7936357598580883E-2</v>
      </c>
      <c r="M10" s="247">
        <f t="shared" si="3"/>
        <v>0.60350731228596632</v>
      </c>
      <c r="N10" s="39"/>
      <c r="P10" s="291"/>
      <c r="Q10" s="290"/>
      <c r="R10" s="290"/>
      <c r="S10" s="292"/>
      <c r="T10" s="292"/>
      <c r="V10" s="290"/>
      <c r="W10" s="290"/>
      <c r="X10" s="290"/>
      <c r="Y10" s="292"/>
      <c r="Z10" s="292"/>
      <c r="AA10" s="292"/>
      <c r="AB10" s="292"/>
    </row>
    <row r="11" spans="1:28">
      <c r="A11" s="86" t="s">
        <v>21</v>
      </c>
      <c r="B11" s="84" t="s">
        <v>22</v>
      </c>
      <c r="C11" s="129" t="s">
        <v>17</v>
      </c>
      <c r="D11" s="228">
        <f>'Eriheitmete arvutus'!C22</f>
        <v>6.7746586192274139</v>
      </c>
      <c r="E11" s="118">
        <f t="shared" si="0"/>
        <v>4.7822315193126318E-2</v>
      </c>
      <c r="F11" s="117">
        <f t="shared" si="1"/>
        <v>0.83354383452181213</v>
      </c>
      <c r="G11" s="120"/>
      <c r="H11" s="225"/>
      <c r="I11" s="118">
        <f>Z11</f>
        <v>2.5836862745098035</v>
      </c>
      <c r="J11" s="117">
        <f>AB11</f>
        <v>41.102352941176463</v>
      </c>
      <c r="K11" s="117"/>
      <c r="L11" s="217">
        <f t="shared" si="2"/>
        <v>2.5836862745098035</v>
      </c>
      <c r="M11" s="198">
        <f t="shared" si="3"/>
        <v>41.102352941176463</v>
      </c>
      <c r="N11" s="249"/>
      <c r="O11" s="250"/>
      <c r="P11" s="147"/>
      <c r="Q11" s="173" t="s">
        <v>22</v>
      </c>
      <c r="R11" s="188">
        <f>ABS(((T11/S11)-1)*100)</f>
        <v>45.882352941176471</v>
      </c>
      <c r="S11" s="152">
        <v>8.5000000000000006E-2</v>
      </c>
      <c r="T11" s="152">
        <v>4.5999999999999999E-2</v>
      </c>
      <c r="V11" s="108"/>
      <c r="W11" s="173" t="s">
        <v>22</v>
      </c>
      <c r="X11" s="188">
        <f>R11</f>
        <v>45.882352941176471</v>
      </c>
      <c r="Y11" s="152">
        <f>I40</f>
        <v>4.7742028985507243</v>
      </c>
      <c r="Z11" s="151">
        <f t="shared" ref="Z11" si="4">Y11-(Y11*X11/100)</f>
        <v>2.5836862745098035</v>
      </c>
      <c r="AA11" s="152">
        <f>I39</f>
        <v>75.949999999999989</v>
      </c>
      <c r="AB11" s="97">
        <f t="shared" ref="AB11" si="5">AA11-(AA11*X11/100)</f>
        <v>41.102352941176463</v>
      </c>
    </row>
    <row r="12" spans="1:28">
      <c r="A12" s="87" t="s">
        <v>23</v>
      </c>
      <c r="B12" s="84" t="s">
        <v>24</v>
      </c>
      <c r="C12" s="129" t="s">
        <v>17</v>
      </c>
      <c r="D12" s="228">
        <f>'Eriheitmete arvutus'!C24</f>
        <v>2.593726442789924</v>
      </c>
      <c r="E12" s="118">
        <f t="shared" si="0"/>
        <v>1.8309114959654073E-2</v>
      </c>
      <c r="F12" s="117">
        <f t="shared" si="1"/>
        <v>0.31912821093120802</v>
      </c>
      <c r="G12" s="120"/>
      <c r="H12" s="225">
        <f>'Eriheitmete arvutus'!F34</f>
        <v>5.0622385055830925</v>
      </c>
      <c r="I12" s="118">
        <f>$I$4*H12/1000</f>
        <v>3.5734341610911054E-2</v>
      </c>
      <c r="J12" s="117">
        <f>H12*$I$3/1000000</f>
        <v>0.56847672858071729</v>
      </c>
      <c r="K12" s="117"/>
      <c r="L12" s="217">
        <f t="shared" si="2"/>
        <v>3.5734341610911054E-2</v>
      </c>
      <c r="M12" s="248">
        <f t="shared" si="3"/>
        <v>0.56847672858071729</v>
      </c>
      <c r="N12" s="39"/>
      <c r="P12" s="32"/>
      <c r="Q12" s="32"/>
      <c r="R12" s="237"/>
      <c r="S12" s="231"/>
      <c r="T12" s="238"/>
      <c r="U12" s="125"/>
      <c r="V12" s="32"/>
      <c r="W12" s="32"/>
      <c r="X12" s="237"/>
      <c r="Y12" s="232"/>
      <c r="Z12" s="238"/>
      <c r="AA12" s="232"/>
      <c r="AB12" s="239"/>
    </row>
    <row r="13" spans="1:28">
      <c r="A13" s="88" t="s">
        <v>25</v>
      </c>
      <c r="B13" s="84" t="s">
        <v>26</v>
      </c>
      <c r="C13" s="129" t="s">
        <v>17</v>
      </c>
      <c r="D13" s="228">
        <f>'Eriheitmete arvutus'!C25</f>
        <v>1.1497563485203099</v>
      </c>
      <c r="E13" s="118">
        <f t="shared" si="0"/>
        <v>8.116130064204868E-3</v>
      </c>
      <c r="F13" s="117">
        <f t="shared" si="1"/>
        <v>0.14146429648741615</v>
      </c>
      <c r="G13" s="120"/>
      <c r="H13" s="225">
        <f>'Eriheitmete arvutus'!F35</f>
        <v>1.4420672845847957</v>
      </c>
      <c r="I13" s="118">
        <f>$I$4*H13/1000</f>
        <v>1.0179552961884074E-2</v>
      </c>
      <c r="J13" s="117">
        <f>H13*$I$3/1000000</f>
        <v>0.16194055089066112</v>
      </c>
      <c r="K13" s="117"/>
      <c r="L13" s="217">
        <f t="shared" si="2"/>
        <v>1.0179552961884074E-2</v>
      </c>
      <c r="M13" s="198">
        <f t="shared" si="3"/>
        <v>0.16194055089066112</v>
      </c>
      <c r="N13" s="39"/>
      <c r="P13" s="32"/>
      <c r="Q13" s="32"/>
      <c r="R13" s="237"/>
      <c r="S13" s="231"/>
      <c r="T13" s="238"/>
      <c r="U13" s="125"/>
      <c r="V13" s="32"/>
      <c r="W13" s="32"/>
      <c r="X13" s="237"/>
      <c r="Y13" s="232"/>
      <c r="Z13" s="238"/>
      <c r="AA13" s="232"/>
      <c r="AB13" s="239"/>
    </row>
    <row r="14" spans="1:28" ht="18" customHeight="1">
      <c r="A14" s="88" t="s">
        <v>27</v>
      </c>
      <c r="B14" s="84" t="s">
        <v>28</v>
      </c>
      <c r="C14" s="129" t="s">
        <v>17</v>
      </c>
      <c r="D14" s="228">
        <f>'Eriheitmete arvutus'!C26</f>
        <v>1.1265289475401015</v>
      </c>
      <c r="E14" s="118">
        <f t="shared" si="0"/>
        <v>7.9521678406855763E-3</v>
      </c>
      <c r="F14" s="117">
        <f t="shared" si="1"/>
        <v>0.13860643191191277</v>
      </c>
      <c r="G14" s="120"/>
      <c r="H14" s="225">
        <f>'Eriheitmete arvutus'!F36</f>
        <v>1.4302019681813463</v>
      </c>
      <c r="I14" s="118">
        <f>$I$4*H14/1000</f>
        <v>1.0095795693392123E-2</v>
      </c>
      <c r="J14" s="117">
        <f>H14*$I$3/1000000</f>
        <v>0.16060810552184474</v>
      </c>
      <c r="K14" s="117"/>
      <c r="L14" s="217">
        <f t="shared" si="2"/>
        <v>1.0095795693392123E-2</v>
      </c>
      <c r="M14" s="198">
        <f t="shared" si="3"/>
        <v>0.16060810552184474</v>
      </c>
      <c r="N14" s="39"/>
      <c r="P14" s="32"/>
      <c r="Q14" s="32"/>
      <c r="R14" s="32"/>
      <c r="S14" s="238"/>
      <c r="T14" s="238"/>
      <c r="U14" s="125"/>
      <c r="V14" s="32"/>
      <c r="W14" s="32"/>
      <c r="X14" s="32"/>
      <c r="Y14" s="238"/>
      <c r="Z14" s="238"/>
      <c r="AA14" s="238"/>
      <c r="AB14" s="238"/>
    </row>
    <row r="15" spans="1:28" ht="18.600000000000001" customHeight="1">
      <c r="A15" s="88" t="s">
        <v>29</v>
      </c>
      <c r="B15" s="84" t="s">
        <v>30</v>
      </c>
      <c r="C15" s="129" t="s">
        <v>31</v>
      </c>
      <c r="D15" s="130">
        <v>15</v>
      </c>
      <c r="E15" s="118">
        <f>E14*F15/100</f>
        <v>1.6533324155431316E-6</v>
      </c>
      <c r="F15" s="117">
        <f>F14*D15/100</f>
        <v>2.0790964786786915E-2</v>
      </c>
      <c r="G15" s="120"/>
      <c r="H15" s="130">
        <v>6.4</v>
      </c>
      <c r="I15" s="118">
        <f>I14*J15/100</f>
        <v>1.0377386368328369E-6</v>
      </c>
      <c r="J15" s="117">
        <f>J14*H15/100</f>
        <v>1.0278918753398062E-2</v>
      </c>
      <c r="K15" s="117"/>
      <c r="L15" s="217">
        <f t="shared" si="2"/>
        <v>1.6533324155431316E-6</v>
      </c>
      <c r="M15" s="198">
        <f t="shared" si="3"/>
        <v>2.0790964786786915E-2</v>
      </c>
      <c r="P15" s="32"/>
      <c r="Q15" s="32"/>
      <c r="R15" s="32"/>
      <c r="S15" s="238"/>
      <c r="T15" s="238"/>
      <c r="U15" s="125"/>
      <c r="V15" s="32"/>
      <c r="W15" s="32"/>
      <c r="X15" s="32"/>
      <c r="Y15" s="238"/>
      <c r="Z15" s="238"/>
      <c r="AA15" s="238"/>
      <c r="AB15" s="238"/>
    </row>
    <row r="16" spans="1:28" ht="14.4" customHeight="1">
      <c r="A16" s="89" t="s">
        <v>32</v>
      </c>
      <c r="B16" s="90" t="s">
        <v>1</v>
      </c>
      <c r="C16" s="89" t="s">
        <v>33</v>
      </c>
      <c r="D16" s="131">
        <v>27</v>
      </c>
      <c r="E16" s="118">
        <f>$E$4*D16/1000</f>
        <v>0.19059300000000001</v>
      </c>
      <c r="F16" s="119">
        <f>D16*$E$3/1000000</f>
        <v>3.3220394999999998</v>
      </c>
      <c r="G16" s="120"/>
      <c r="H16" s="131">
        <v>100</v>
      </c>
      <c r="I16" s="118">
        <f t="shared" ref="I16:I24" si="6">$I$4*H16/1000</f>
        <v>0.70589999999999997</v>
      </c>
      <c r="J16" s="117">
        <f t="shared" ref="J16:J24" si="7">H16*$I$3/1000000</f>
        <v>11.229749999999999</v>
      </c>
      <c r="K16" s="117"/>
      <c r="L16" s="217">
        <f t="shared" si="2"/>
        <v>0.70589999999999997</v>
      </c>
      <c r="M16" s="198">
        <f t="shared" si="3"/>
        <v>11.229749999999999</v>
      </c>
      <c r="P16" s="241"/>
      <c r="Q16" s="22"/>
      <c r="R16" s="22"/>
      <c r="S16" s="242"/>
      <c r="T16" s="242"/>
      <c r="U16" s="125"/>
      <c r="V16" s="241"/>
      <c r="W16" s="22"/>
      <c r="X16" s="22"/>
      <c r="Y16" s="242"/>
      <c r="Z16" s="242"/>
      <c r="AA16" s="242"/>
      <c r="AB16" s="242"/>
    </row>
    <row r="17" spans="1:30">
      <c r="A17" s="89" t="s">
        <v>34</v>
      </c>
      <c r="B17" s="91" t="s">
        <v>35</v>
      </c>
      <c r="C17" s="132" t="s">
        <v>33</v>
      </c>
      <c r="D17" s="133">
        <v>13</v>
      </c>
      <c r="E17" s="118">
        <f t="shared" ref="E17:E30" si="8">$E$4*D17/1000</f>
        <v>9.1767000000000001E-2</v>
      </c>
      <c r="F17" s="119">
        <f t="shared" ref="F17:F30" si="9">D17*$E$3/1000000</f>
        <v>1.5995005</v>
      </c>
      <c r="G17" s="120"/>
      <c r="H17" s="133">
        <v>1</v>
      </c>
      <c r="I17" s="118">
        <f t="shared" si="6"/>
        <v>7.0590000000000002E-3</v>
      </c>
      <c r="J17" s="117">
        <f t="shared" si="7"/>
        <v>0.11229749999999999</v>
      </c>
      <c r="K17" s="117"/>
      <c r="L17" s="217">
        <f t="shared" si="2"/>
        <v>9.1767000000000001E-2</v>
      </c>
      <c r="M17" s="198">
        <f t="shared" si="3"/>
        <v>1.5995005</v>
      </c>
      <c r="P17" s="241"/>
      <c r="Q17" s="22"/>
      <c r="R17" s="22"/>
      <c r="S17" s="242"/>
      <c r="T17" s="242"/>
      <c r="U17" s="125"/>
      <c r="V17" s="241"/>
      <c r="W17" s="22"/>
      <c r="X17" s="22"/>
      <c r="Y17" s="242"/>
      <c r="Z17" s="242"/>
      <c r="AA17" s="242"/>
      <c r="AB17" s="242"/>
    </row>
    <row r="18" spans="1:30">
      <c r="A18" s="89" t="s">
        <v>36</v>
      </c>
      <c r="B18" s="91" t="s">
        <v>37</v>
      </c>
      <c r="C18" s="132" t="s">
        <v>33</v>
      </c>
      <c r="D18" s="133">
        <v>0.56000000000000005</v>
      </c>
      <c r="E18" s="118">
        <f t="shared" si="8"/>
        <v>3.9530400000000005E-3</v>
      </c>
      <c r="F18" s="119">
        <f t="shared" si="9"/>
        <v>6.8901560000000014E-2</v>
      </c>
      <c r="G18" s="120"/>
      <c r="H18" s="133">
        <v>9</v>
      </c>
      <c r="I18" s="118">
        <f t="shared" si="6"/>
        <v>6.3531000000000004E-2</v>
      </c>
      <c r="J18" s="117">
        <f t="shared" si="7"/>
        <v>1.0106774999999999</v>
      </c>
      <c r="K18" s="117"/>
      <c r="L18" s="217">
        <f t="shared" si="2"/>
        <v>6.3531000000000004E-2</v>
      </c>
      <c r="M18" s="198">
        <f t="shared" si="3"/>
        <v>1.0106774999999999</v>
      </c>
      <c r="P18" s="32"/>
      <c r="Q18" s="240"/>
      <c r="R18" s="237"/>
      <c r="S18" s="146"/>
      <c r="T18" s="146"/>
      <c r="U18" s="125"/>
      <c r="V18" s="32"/>
      <c r="W18" s="240"/>
      <c r="X18" s="237"/>
      <c r="Y18" s="146"/>
      <c r="Z18" s="234"/>
      <c r="AA18" s="234"/>
      <c r="AB18" s="234"/>
    </row>
    <row r="19" spans="1:30">
      <c r="A19" s="89" t="s">
        <v>38</v>
      </c>
      <c r="B19" s="91" t="s">
        <v>2</v>
      </c>
      <c r="C19" s="132" t="s">
        <v>33</v>
      </c>
      <c r="D19" s="133">
        <v>1</v>
      </c>
      <c r="E19" s="118">
        <f t="shared" si="8"/>
        <v>7.0590000000000002E-3</v>
      </c>
      <c r="F19" s="119">
        <f t="shared" si="9"/>
        <v>0.1230385</v>
      </c>
      <c r="G19" s="120"/>
      <c r="H19" s="133">
        <v>4</v>
      </c>
      <c r="I19" s="118">
        <f t="shared" si="6"/>
        <v>2.8236000000000001E-2</v>
      </c>
      <c r="J19" s="117">
        <f t="shared" si="7"/>
        <v>0.44918999999999998</v>
      </c>
      <c r="K19" s="117"/>
      <c r="L19" s="217">
        <f t="shared" si="2"/>
        <v>2.8236000000000001E-2</v>
      </c>
      <c r="M19" s="198">
        <f t="shared" si="3"/>
        <v>0.44918999999999998</v>
      </c>
      <c r="P19" s="32"/>
      <c r="Q19" s="240"/>
      <c r="R19" s="237"/>
      <c r="S19" s="146"/>
      <c r="T19" s="146"/>
      <c r="U19" s="125"/>
      <c r="V19" s="32"/>
      <c r="W19" s="240"/>
      <c r="X19" s="237"/>
      <c r="Y19" s="146"/>
      <c r="Z19" s="234"/>
      <c r="AA19" s="234"/>
      <c r="AB19" s="234"/>
    </row>
    <row r="20" spans="1:30">
      <c r="A20" s="89" t="s">
        <v>39</v>
      </c>
      <c r="B20" s="91" t="s">
        <v>3</v>
      </c>
      <c r="C20" s="132" t="s">
        <v>33</v>
      </c>
      <c r="D20" s="133">
        <v>23</v>
      </c>
      <c r="E20" s="118">
        <f t="shared" si="8"/>
        <v>0.162357</v>
      </c>
      <c r="F20" s="119">
        <f t="shared" si="9"/>
        <v>2.8298855000000001</v>
      </c>
      <c r="G20" s="120"/>
      <c r="H20" s="133">
        <v>20</v>
      </c>
      <c r="I20" s="118">
        <f t="shared" si="6"/>
        <v>0.14118</v>
      </c>
      <c r="J20" s="117">
        <f t="shared" si="7"/>
        <v>2.2459500000000001</v>
      </c>
      <c r="K20" s="117"/>
      <c r="L20" s="217">
        <f t="shared" si="2"/>
        <v>0.162357</v>
      </c>
      <c r="M20" s="198">
        <f t="shared" si="3"/>
        <v>2.8298855000000001</v>
      </c>
      <c r="P20" s="32"/>
      <c r="Q20" s="240"/>
      <c r="R20" s="237"/>
      <c r="S20" s="146"/>
      <c r="T20" s="146"/>
      <c r="U20" s="125"/>
      <c r="V20" s="32"/>
      <c r="W20" s="240"/>
      <c r="X20" s="237"/>
      <c r="Y20" s="146"/>
      <c r="Z20" s="234"/>
      <c r="AA20" s="234"/>
      <c r="AB20" s="234"/>
    </row>
    <row r="21" spans="1:30" s="39" customFormat="1">
      <c r="A21" s="89" t="s">
        <v>40</v>
      </c>
      <c r="B21" s="91" t="s">
        <v>41</v>
      </c>
      <c r="C21" s="132" t="s">
        <v>33</v>
      </c>
      <c r="D21" s="133">
        <v>20</v>
      </c>
      <c r="E21" s="118">
        <f t="shared" si="8"/>
        <v>0.14118</v>
      </c>
      <c r="F21" s="119">
        <f t="shared" si="9"/>
        <v>2.4607700000000001</v>
      </c>
      <c r="G21" s="120"/>
      <c r="H21" s="133">
        <v>20</v>
      </c>
      <c r="I21" s="118">
        <f t="shared" si="6"/>
        <v>0.14118</v>
      </c>
      <c r="J21" s="117">
        <f t="shared" si="7"/>
        <v>2.2459500000000001</v>
      </c>
      <c r="K21" s="117"/>
      <c r="L21" s="217">
        <f t="shared" si="2"/>
        <v>0.14118</v>
      </c>
      <c r="M21" s="198">
        <f t="shared" si="3"/>
        <v>2.4607700000000001</v>
      </c>
      <c r="P21" s="32"/>
      <c r="Q21" s="32"/>
      <c r="R21" s="32"/>
      <c r="S21" s="32"/>
      <c r="T21" s="32"/>
      <c r="U21" s="125"/>
      <c r="V21" s="32"/>
      <c r="W21" s="32"/>
      <c r="X21" s="32"/>
      <c r="Y21" s="32"/>
      <c r="Z21" s="32"/>
      <c r="AA21" s="32"/>
      <c r="AB21" s="32"/>
      <c r="AC21" s="125"/>
      <c r="AD21" s="125"/>
    </row>
    <row r="22" spans="1:30" ht="14.4" customHeight="1">
      <c r="A22" s="89" t="s">
        <v>42</v>
      </c>
      <c r="B22" s="90" t="s">
        <v>4</v>
      </c>
      <c r="C22" s="89" t="s">
        <v>33</v>
      </c>
      <c r="D22" s="131">
        <v>20</v>
      </c>
      <c r="E22" s="118">
        <f t="shared" si="8"/>
        <v>0.14118</v>
      </c>
      <c r="F22" s="119">
        <f t="shared" si="9"/>
        <v>2.4607700000000001</v>
      </c>
      <c r="G22" s="120"/>
      <c r="H22" s="131">
        <v>10</v>
      </c>
      <c r="I22" s="118">
        <f t="shared" si="6"/>
        <v>7.059E-2</v>
      </c>
      <c r="J22" s="117">
        <f t="shared" si="7"/>
        <v>1.1229750000000001</v>
      </c>
      <c r="K22" s="117"/>
      <c r="L22" s="217">
        <f t="shared" si="2"/>
        <v>0.14118</v>
      </c>
      <c r="M22" s="198">
        <f t="shared" si="3"/>
        <v>2.4607700000000001</v>
      </c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</row>
    <row r="23" spans="1:30">
      <c r="A23" s="89" t="s">
        <v>73</v>
      </c>
      <c r="B23" s="90" t="s">
        <v>68</v>
      </c>
      <c r="C23" s="89" t="s">
        <v>33</v>
      </c>
      <c r="D23" s="131">
        <v>0.5</v>
      </c>
      <c r="E23" s="118">
        <f t="shared" si="8"/>
        <v>3.5295000000000001E-3</v>
      </c>
      <c r="F23" s="119">
        <f t="shared" si="9"/>
        <v>6.1519249999999998E-2</v>
      </c>
      <c r="G23" s="120"/>
      <c r="H23" s="131">
        <v>2</v>
      </c>
      <c r="I23" s="118">
        <f t="shared" si="6"/>
        <v>1.4118E-2</v>
      </c>
      <c r="J23" s="117">
        <f t="shared" si="7"/>
        <v>0.22459499999999999</v>
      </c>
      <c r="K23" s="117"/>
      <c r="L23" s="217">
        <f t="shared" si="2"/>
        <v>1.4118E-2</v>
      </c>
      <c r="M23" s="198">
        <f t="shared" si="3"/>
        <v>0.22459499999999999</v>
      </c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</row>
    <row r="24" spans="1:30" s="39" customFormat="1">
      <c r="A24" s="89" t="s">
        <v>43</v>
      </c>
      <c r="B24" s="90" t="s">
        <v>44</v>
      </c>
      <c r="C24" s="132" t="s">
        <v>33</v>
      </c>
      <c r="D24" s="133">
        <v>512</v>
      </c>
      <c r="E24" s="118">
        <f t="shared" si="8"/>
        <v>3.6142080000000001</v>
      </c>
      <c r="F24" s="119">
        <f t="shared" si="9"/>
        <v>62.995711999999997</v>
      </c>
      <c r="G24" s="120"/>
      <c r="H24" s="133">
        <v>300</v>
      </c>
      <c r="I24" s="118">
        <f t="shared" si="6"/>
        <v>2.1177000000000001</v>
      </c>
      <c r="J24" s="117">
        <f t="shared" si="7"/>
        <v>33.689250000000001</v>
      </c>
      <c r="K24" s="117"/>
      <c r="L24" s="217">
        <f t="shared" si="2"/>
        <v>3.6142080000000001</v>
      </c>
      <c r="M24" s="198">
        <f t="shared" si="3"/>
        <v>62.995711999999997</v>
      </c>
      <c r="P24" s="32"/>
      <c r="Q24" s="243"/>
      <c r="R24" s="230"/>
      <c r="S24" s="235"/>
      <c r="T24" s="235"/>
      <c r="U24" s="125"/>
      <c r="V24" s="32"/>
      <c r="W24" s="243"/>
      <c r="X24" s="230"/>
      <c r="Y24" s="235"/>
      <c r="Z24" s="235"/>
      <c r="AA24" s="235"/>
      <c r="AB24" s="235"/>
      <c r="AC24" s="125"/>
      <c r="AD24" s="125"/>
    </row>
    <row r="25" spans="1:30">
      <c r="A25" s="92" t="s">
        <v>97</v>
      </c>
      <c r="B25" s="93" t="s">
        <v>98</v>
      </c>
      <c r="C25" s="134" t="s">
        <v>17</v>
      </c>
      <c r="D25" s="133">
        <v>37</v>
      </c>
      <c r="E25" s="118">
        <f t="shared" si="8"/>
        <v>0.261183</v>
      </c>
      <c r="F25" s="119">
        <f t="shared" si="9"/>
        <v>4.5524244999999999</v>
      </c>
      <c r="G25" s="120"/>
      <c r="H25" s="133"/>
      <c r="I25" s="118"/>
      <c r="J25" s="117"/>
      <c r="K25" s="117"/>
      <c r="L25" s="217">
        <f t="shared" si="2"/>
        <v>0.261183</v>
      </c>
      <c r="M25" s="198">
        <f t="shared" si="3"/>
        <v>4.5524244999999999</v>
      </c>
      <c r="P25" s="95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</row>
    <row r="26" spans="1:30" ht="43.2">
      <c r="A26" s="89"/>
      <c r="B26" s="91" t="s">
        <v>45</v>
      </c>
      <c r="C26" s="89" t="s">
        <v>46</v>
      </c>
      <c r="D26" s="133">
        <v>100</v>
      </c>
      <c r="E26" s="118">
        <f t="shared" si="8"/>
        <v>0.70589999999999997</v>
      </c>
      <c r="F26" s="119">
        <f t="shared" si="9"/>
        <v>12.303850000000001</v>
      </c>
      <c r="G26" s="120"/>
      <c r="H26" s="133">
        <v>100</v>
      </c>
      <c r="I26" s="118">
        <f>$I$4*H26/1000</f>
        <v>0.70589999999999997</v>
      </c>
      <c r="J26" s="117">
        <f>H26*$I$3/1000000</f>
        <v>11.229749999999999</v>
      </c>
      <c r="K26" s="117"/>
      <c r="L26" s="217">
        <f t="shared" si="2"/>
        <v>0.70589999999999997</v>
      </c>
      <c r="M26" s="198">
        <f t="shared" si="3"/>
        <v>12.303850000000001</v>
      </c>
      <c r="P26" s="95"/>
      <c r="Q26" s="244"/>
      <c r="R26" s="230"/>
      <c r="S26" s="245"/>
      <c r="T26" s="245"/>
      <c r="U26" s="229"/>
      <c r="V26" s="95"/>
      <c r="W26" s="244"/>
      <c r="X26" s="230"/>
      <c r="Y26" s="245"/>
      <c r="Z26" s="235"/>
      <c r="AA26" s="245"/>
      <c r="AB26" s="235"/>
      <c r="AC26" s="229"/>
      <c r="AD26" s="229"/>
    </row>
    <row r="27" spans="1:30">
      <c r="A27" s="135"/>
      <c r="B27" s="90" t="s">
        <v>47</v>
      </c>
      <c r="C27" s="136" t="s">
        <v>48</v>
      </c>
      <c r="D27" s="131">
        <v>10</v>
      </c>
      <c r="E27" s="118">
        <f t="shared" si="8"/>
        <v>7.059E-2</v>
      </c>
      <c r="F27" s="119">
        <f t="shared" si="9"/>
        <v>1.2303850000000001</v>
      </c>
      <c r="G27" s="120"/>
      <c r="H27" s="131">
        <v>13</v>
      </c>
      <c r="I27" s="118">
        <f>$I$4*H27/1000</f>
        <v>9.1767000000000001E-2</v>
      </c>
      <c r="J27" s="117">
        <f>H27*$I$3/1000000</f>
        <v>1.4598675000000001</v>
      </c>
      <c r="K27" s="117"/>
      <c r="L27" s="217">
        <f t="shared" si="2"/>
        <v>9.1767000000000001E-2</v>
      </c>
      <c r="M27" s="198">
        <f t="shared" si="3"/>
        <v>1.4598675000000001</v>
      </c>
      <c r="P27" s="95"/>
      <c r="Q27" s="32"/>
      <c r="R27" s="230"/>
      <c r="S27" s="232"/>
      <c r="T27" s="232"/>
      <c r="U27" s="229"/>
      <c r="V27" s="95"/>
      <c r="W27" s="32"/>
      <c r="X27" s="230"/>
      <c r="Y27" s="232"/>
      <c r="Z27" s="235"/>
      <c r="AA27" s="232"/>
      <c r="AB27" s="235"/>
      <c r="AC27" s="229"/>
      <c r="AD27" s="229"/>
    </row>
    <row r="28" spans="1:30">
      <c r="A28" s="135"/>
      <c r="B28" s="90" t="s">
        <v>49</v>
      </c>
      <c r="C28" s="136" t="s">
        <v>48</v>
      </c>
      <c r="D28" s="133">
        <v>16</v>
      </c>
      <c r="E28" s="118">
        <f t="shared" si="8"/>
        <v>0.112944</v>
      </c>
      <c r="F28" s="119">
        <f t="shared" si="9"/>
        <v>1.9686159999999999</v>
      </c>
      <c r="G28" s="120"/>
      <c r="H28" s="133">
        <v>17</v>
      </c>
      <c r="I28" s="118">
        <f>$I$4*H28/1000</f>
        <v>0.120003</v>
      </c>
      <c r="J28" s="117">
        <f>H28*$I$3/1000000</f>
        <v>1.9090575000000001</v>
      </c>
      <c r="K28" s="117"/>
      <c r="L28" s="217">
        <f t="shared" si="2"/>
        <v>0.120003</v>
      </c>
      <c r="M28" s="198">
        <f t="shared" si="3"/>
        <v>1.9686159999999999</v>
      </c>
      <c r="P28" s="95"/>
      <c r="Q28" s="240"/>
      <c r="R28" s="237"/>
      <c r="S28" s="234"/>
      <c r="T28" s="234"/>
      <c r="U28" s="229"/>
      <c r="V28" s="95"/>
      <c r="W28" s="240"/>
      <c r="X28" s="237"/>
      <c r="Y28" s="234"/>
      <c r="Z28" s="234"/>
      <c r="AA28" s="234"/>
      <c r="AB28" s="234"/>
      <c r="AC28" s="229"/>
      <c r="AD28" s="229"/>
    </row>
    <row r="29" spans="1:30" ht="14.4" customHeight="1">
      <c r="A29" s="89"/>
      <c r="B29" s="90" t="s">
        <v>50</v>
      </c>
      <c r="C29" s="89" t="s">
        <v>48</v>
      </c>
      <c r="D29" s="133">
        <v>5</v>
      </c>
      <c r="E29" s="118">
        <f t="shared" si="8"/>
        <v>3.5295E-2</v>
      </c>
      <c r="F29" s="119">
        <f t="shared" si="9"/>
        <v>0.61519250000000003</v>
      </c>
      <c r="G29" s="120"/>
      <c r="H29" s="133">
        <v>9</v>
      </c>
      <c r="I29" s="118">
        <f>$I$4*H29/1000</f>
        <v>6.3531000000000004E-2</v>
      </c>
      <c r="J29" s="117">
        <f>H29*$I$3/1000000</f>
        <v>1.0106774999999999</v>
      </c>
      <c r="K29" s="117"/>
      <c r="L29" s="217">
        <f t="shared" si="2"/>
        <v>6.3531000000000004E-2</v>
      </c>
      <c r="M29" s="198">
        <f t="shared" si="3"/>
        <v>1.0106774999999999</v>
      </c>
      <c r="P29" s="95"/>
      <c r="Q29" s="233"/>
      <c r="R29" s="237"/>
      <c r="S29" s="235"/>
      <c r="T29" s="235"/>
      <c r="U29" s="229"/>
      <c r="V29" s="95"/>
      <c r="W29" s="240"/>
      <c r="X29" s="237"/>
      <c r="Y29" s="234"/>
      <c r="Z29" s="234"/>
      <c r="AA29" s="234"/>
      <c r="AB29" s="234"/>
      <c r="AC29" s="229"/>
      <c r="AD29" s="229"/>
    </row>
    <row r="30" spans="1:30">
      <c r="A30" s="89"/>
      <c r="B30" s="90" t="s">
        <v>51</v>
      </c>
      <c r="C30" s="89" t="s">
        <v>48</v>
      </c>
      <c r="D30" s="131">
        <v>4</v>
      </c>
      <c r="E30" s="118">
        <f t="shared" si="8"/>
        <v>2.8236000000000001E-2</v>
      </c>
      <c r="F30" s="119">
        <f t="shared" si="9"/>
        <v>0.49215399999999998</v>
      </c>
      <c r="G30" s="120"/>
      <c r="H30" s="131">
        <v>6</v>
      </c>
      <c r="I30" s="118">
        <f>$I$4*H30/1000</f>
        <v>4.2353999999999996E-2</v>
      </c>
      <c r="J30" s="117">
        <f>H30*$I$3/1000000</f>
        <v>0.67378499999999997</v>
      </c>
      <c r="K30" s="117"/>
      <c r="L30" s="217">
        <f t="shared" si="2"/>
        <v>4.2353999999999996E-2</v>
      </c>
      <c r="M30" s="198">
        <f t="shared" si="3"/>
        <v>0.67378499999999997</v>
      </c>
      <c r="P30" s="95"/>
      <c r="Q30" s="233"/>
      <c r="R30" s="237"/>
      <c r="S30" s="235"/>
      <c r="T30" s="235"/>
      <c r="U30" s="229"/>
      <c r="V30" s="95"/>
      <c r="W30" s="240"/>
      <c r="X30" s="246"/>
      <c r="Y30" s="234"/>
      <c r="Z30" s="234"/>
      <c r="AA30" s="234"/>
      <c r="AB30" s="234"/>
      <c r="AC30" s="229"/>
      <c r="AD30" s="229"/>
    </row>
    <row r="31" spans="1:30">
      <c r="A31" s="94" t="s">
        <v>71</v>
      </c>
      <c r="B31" s="94" t="s">
        <v>72</v>
      </c>
      <c r="C31" s="89"/>
      <c r="D31" s="121"/>
      <c r="E31" s="120"/>
      <c r="F31" s="121">
        <f>B37</f>
        <v>13479.310613600001</v>
      </c>
      <c r="G31" s="120"/>
      <c r="H31" s="121"/>
      <c r="I31" s="145"/>
      <c r="J31" s="120"/>
      <c r="K31" s="120"/>
      <c r="L31" s="199"/>
      <c r="M31" s="198">
        <f t="shared" si="3"/>
        <v>13479.310613600001</v>
      </c>
      <c r="P31" s="95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</row>
    <row r="32" spans="1:30">
      <c r="A32" s="94" t="s">
        <v>52</v>
      </c>
      <c r="B32" s="94" t="s">
        <v>110</v>
      </c>
      <c r="C32" s="122"/>
      <c r="D32" s="137"/>
      <c r="E32" s="122"/>
      <c r="F32" s="122"/>
      <c r="G32" s="120"/>
      <c r="H32" s="137"/>
      <c r="I32" s="137"/>
      <c r="J32" s="123">
        <f>I37</f>
        <v>11891.137356000001</v>
      </c>
      <c r="K32" s="123"/>
      <c r="L32" s="199"/>
      <c r="M32" s="198">
        <f>J32</f>
        <v>11891.137356000001</v>
      </c>
      <c r="P32" s="187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</row>
    <row r="33" spans="1:30">
      <c r="A33" s="138"/>
      <c r="B33" s="138"/>
      <c r="C33" s="75"/>
      <c r="D33" s="75"/>
      <c r="E33" s="75"/>
      <c r="F33" s="75"/>
      <c r="G33" s="69"/>
      <c r="H33" s="75"/>
      <c r="I33" s="75"/>
      <c r="J33" s="75"/>
      <c r="K33" s="75"/>
      <c r="P33" s="32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</row>
    <row r="34" spans="1:30">
      <c r="A34" s="83" t="s">
        <v>53</v>
      </c>
      <c r="B34" s="89">
        <v>29.9</v>
      </c>
      <c r="C34" s="122" t="s">
        <v>54</v>
      </c>
      <c r="D34" s="75"/>
      <c r="E34" s="75"/>
      <c r="F34" s="75"/>
      <c r="G34" s="69"/>
      <c r="H34" s="75"/>
      <c r="I34" s="139">
        <v>28.9</v>
      </c>
      <c r="J34" s="122" t="s">
        <v>54</v>
      </c>
      <c r="K34" s="192"/>
      <c r="P34" s="32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</row>
    <row r="35" spans="1:30">
      <c r="A35" s="83" t="s">
        <v>55</v>
      </c>
      <c r="B35" s="83">
        <v>1</v>
      </c>
      <c r="C35" s="122"/>
      <c r="D35" s="75"/>
      <c r="E35" s="75"/>
      <c r="F35" s="75"/>
      <c r="G35" s="69"/>
      <c r="H35" s="75"/>
      <c r="I35" s="122">
        <v>1</v>
      </c>
      <c r="J35" s="122"/>
      <c r="K35" s="192"/>
      <c r="P35" s="125"/>
      <c r="Q35" s="22"/>
      <c r="R35" s="206"/>
      <c r="S35" s="212"/>
      <c r="T35" s="212"/>
      <c r="U35" s="31"/>
      <c r="V35" s="229"/>
      <c r="W35" s="229"/>
      <c r="X35" s="229"/>
      <c r="Y35" s="229"/>
      <c r="Z35" s="229"/>
      <c r="AA35" s="229"/>
      <c r="AB35" s="229"/>
      <c r="AC35" s="229"/>
      <c r="AD35" s="229"/>
    </row>
    <row r="36" spans="1:30">
      <c r="A36" s="83" t="s">
        <v>56</v>
      </c>
      <c r="B36" s="83">
        <f>(E3*B34*B35)/1000</f>
        <v>3678.85115</v>
      </c>
      <c r="C36" s="122"/>
      <c r="D36" s="75"/>
      <c r="E36" s="75"/>
      <c r="F36" s="75"/>
      <c r="G36" s="69"/>
      <c r="H36" s="75"/>
      <c r="I36" s="122">
        <f>(I3*I34*I35)/1000</f>
        <v>3245.3977500000001</v>
      </c>
      <c r="J36" s="122"/>
      <c r="K36" s="192"/>
      <c r="P36" s="32"/>
      <c r="Q36" s="22"/>
      <c r="R36" s="206"/>
      <c r="S36" s="146"/>
      <c r="T36" s="146"/>
      <c r="U36" s="31"/>
      <c r="V36" s="229"/>
      <c r="W36" s="229"/>
      <c r="X36" s="229"/>
      <c r="Y36" s="229"/>
      <c r="Z36" s="229"/>
      <c r="AA36" s="229"/>
      <c r="AB36" s="229"/>
      <c r="AC36" s="229"/>
      <c r="AD36" s="229"/>
    </row>
    <row r="37" spans="1:30">
      <c r="A37" s="83" t="s">
        <v>57</v>
      </c>
      <c r="B37" s="140">
        <f>B36*3.664</f>
        <v>13479.310613600001</v>
      </c>
      <c r="C37" s="122" t="s">
        <v>58</v>
      </c>
      <c r="D37" s="75"/>
      <c r="E37" s="75"/>
      <c r="F37" s="75"/>
      <c r="G37" s="69"/>
      <c r="H37" s="75"/>
      <c r="I37" s="141">
        <f>I36*3.664</f>
        <v>11891.137356000001</v>
      </c>
      <c r="J37" s="122" t="s">
        <v>58</v>
      </c>
      <c r="K37" s="192"/>
      <c r="P37" s="32"/>
      <c r="Q37" s="229"/>
      <c r="R37" s="229"/>
      <c r="S37" s="229"/>
      <c r="T37" s="229"/>
      <c r="U37" s="31"/>
      <c r="V37" s="229"/>
      <c r="W37" s="229"/>
      <c r="X37" s="229"/>
      <c r="Y37" s="229"/>
      <c r="Z37" s="229"/>
      <c r="AA37" s="229"/>
      <c r="AB37" s="229"/>
      <c r="AC37" s="229"/>
      <c r="AD37" s="229"/>
    </row>
    <row r="38" spans="1:30">
      <c r="A38" s="83" t="s">
        <v>69</v>
      </c>
      <c r="B38" s="142">
        <f>Algandmed!O2</f>
        <v>0.05</v>
      </c>
      <c r="C38" s="120" t="s">
        <v>70</v>
      </c>
      <c r="D38" s="69"/>
      <c r="E38" s="69"/>
      <c r="F38" s="69"/>
      <c r="G38" s="69"/>
      <c r="H38" s="69"/>
      <c r="I38" s="120">
        <f>Algandmed!O3</f>
        <v>0.35</v>
      </c>
      <c r="J38" s="120" t="s">
        <v>70</v>
      </c>
      <c r="K38" s="191"/>
      <c r="P38" s="125"/>
      <c r="Q38" s="229"/>
      <c r="R38" s="229"/>
      <c r="S38" s="229"/>
      <c r="T38" s="229"/>
      <c r="U38" s="31"/>
      <c r="V38" s="229"/>
      <c r="W38" s="229"/>
      <c r="X38" s="229"/>
      <c r="Y38" s="229"/>
      <c r="Z38" s="229"/>
      <c r="AA38" s="229"/>
      <c r="AB38" s="229"/>
      <c r="AC38" s="229"/>
      <c r="AD38" s="229"/>
    </row>
    <row r="39" spans="1:30">
      <c r="A39" s="143"/>
      <c r="B39" s="144"/>
      <c r="C39" s="69"/>
      <c r="D39" s="69"/>
      <c r="E39" s="69"/>
      <c r="F39" s="69"/>
      <c r="G39" s="69"/>
      <c r="H39" s="69"/>
      <c r="I39" s="145">
        <f>0.02*I5*I38</f>
        <v>75.949999999999989</v>
      </c>
      <c r="J39" s="69"/>
      <c r="K39" s="69"/>
      <c r="P39" s="32"/>
      <c r="Q39" s="229"/>
      <c r="R39" s="229"/>
      <c r="S39" s="229"/>
      <c r="T39" s="229"/>
      <c r="U39" s="31"/>
      <c r="V39" s="229"/>
      <c r="W39" s="229"/>
      <c r="X39" s="229"/>
      <c r="Y39" s="229"/>
      <c r="Z39" s="229"/>
      <c r="AA39" s="229"/>
      <c r="AB39" s="229"/>
      <c r="AC39" s="229"/>
      <c r="AD39" s="229"/>
    </row>
    <row r="40" spans="1:30">
      <c r="A40" s="143"/>
      <c r="B40" s="144"/>
      <c r="C40" s="69"/>
      <c r="D40" s="69"/>
      <c r="E40" s="69"/>
      <c r="F40" s="69"/>
      <c r="G40" s="69"/>
      <c r="H40" s="69"/>
      <c r="I40" s="145">
        <f>20*I4*I38/I6</f>
        <v>4.7742028985507243</v>
      </c>
      <c r="J40" s="69"/>
      <c r="K40" s="69"/>
      <c r="P40" s="125"/>
      <c r="U40" s="31"/>
    </row>
    <row r="41" spans="1:30">
      <c r="A41" s="39"/>
      <c r="B41" s="39"/>
      <c r="C41" s="70"/>
      <c r="D41" s="70"/>
      <c r="E41" s="70"/>
      <c r="F41" s="70"/>
      <c r="G41" s="70"/>
      <c r="H41" s="70"/>
      <c r="I41" s="70"/>
      <c r="J41" s="70"/>
      <c r="K41" s="70"/>
      <c r="P41" s="125"/>
      <c r="Q41" s="220"/>
      <c r="R41" s="125"/>
      <c r="S41" s="125"/>
      <c r="T41" s="125"/>
    </row>
    <row r="42" spans="1:30">
      <c r="P42" s="125"/>
      <c r="Q42" s="125"/>
      <c r="R42" s="125"/>
      <c r="S42" s="125"/>
      <c r="T42" s="125"/>
    </row>
    <row r="43" spans="1:30">
      <c r="Q43" s="220"/>
    </row>
  </sheetData>
  <mergeCells count="22">
    <mergeCell ref="AA9:AA10"/>
    <mergeCell ref="AB9:AB10"/>
    <mergeCell ref="Y8:Z8"/>
    <mergeCell ref="V9:V10"/>
    <mergeCell ref="W9:W10"/>
    <mergeCell ref="X9:X10"/>
    <mergeCell ref="Y9:Y10"/>
    <mergeCell ref="Z9:Z10"/>
    <mergeCell ref="L6:M6"/>
    <mergeCell ref="S8:T8"/>
    <mergeCell ref="P9:P10"/>
    <mergeCell ref="Q9:Q10"/>
    <mergeCell ref="R9:R10"/>
    <mergeCell ref="S9:S10"/>
    <mergeCell ref="T9:T10"/>
    <mergeCell ref="D2:F2"/>
    <mergeCell ref="H2:J2"/>
    <mergeCell ref="A4:C4"/>
    <mergeCell ref="A5:C5"/>
    <mergeCell ref="A6:C6"/>
    <mergeCell ref="D3:D6"/>
    <mergeCell ref="H3:H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I19" sqref="I19"/>
    </sheetView>
  </sheetViews>
  <sheetFormatPr defaultRowHeight="14.4"/>
  <cols>
    <col min="1" max="1" width="22.88671875" customWidth="1"/>
    <col min="2" max="2" width="21.5546875" customWidth="1"/>
    <col min="3" max="4" width="18.109375" customWidth="1"/>
    <col min="5" max="5" width="17.109375" customWidth="1"/>
    <col min="6" max="6" width="17.21875" customWidth="1"/>
  </cols>
  <sheetData>
    <row r="1" spans="1:5">
      <c r="A1" s="178" t="s">
        <v>176</v>
      </c>
    </row>
    <row r="2" spans="1:5">
      <c r="A2" s="158" t="s">
        <v>159</v>
      </c>
      <c r="B2" s="150">
        <f>Kiirused!E5</f>
        <v>2.4753875838926178</v>
      </c>
      <c r="C2" s="167" t="s">
        <v>81</v>
      </c>
      <c r="E2" t="s">
        <v>165</v>
      </c>
    </row>
    <row r="3" spans="1:5">
      <c r="A3" s="158" t="s">
        <v>161</v>
      </c>
      <c r="B3" s="150">
        <f>Kiirused!E3</f>
        <v>1.76475</v>
      </c>
      <c r="C3" s="167" t="s">
        <v>81</v>
      </c>
      <c r="E3" t="s">
        <v>160</v>
      </c>
    </row>
    <row r="4" spans="1:5">
      <c r="A4" s="158" t="s">
        <v>173</v>
      </c>
      <c r="B4" s="182">
        <f>Algandmed!N2</f>
        <v>8.23</v>
      </c>
      <c r="C4" s="167" t="s">
        <v>108</v>
      </c>
    </row>
    <row r="5" spans="1:5">
      <c r="A5" s="158" t="s">
        <v>174</v>
      </c>
      <c r="B5" s="182">
        <f>Algandmed!N3</f>
        <v>10.35</v>
      </c>
      <c r="C5" s="167" t="s">
        <v>108</v>
      </c>
    </row>
    <row r="6" spans="1:5">
      <c r="A6" s="183" t="s">
        <v>163</v>
      </c>
      <c r="B6" s="150">
        <f>Kiirused!E4</f>
        <v>1.4026845637583893</v>
      </c>
      <c r="C6" s="167"/>
      <c r="E6" t="s">
        <v>164</v>
      </c>
    </row>
    <row r="9" spans="1:5" ht="16.8">
      <c r="A9" s="181" t="s">
        <v>175</v>
      </c>
    </row>
    <row r="11" spans="1:5" s="38" customFormat="1" ht="16.8">
      <c r="A11" s="174" t="s">
        <v>171</v>
      </c>
    </row>
    <row r="12" spans="1:5" s="38" customFormat="1" ht="16.8">
      <c r="A12" s="174" t="s">
        <v>167</v>
      </c>
    </row>
    <row r="13" spans="1:5" s="38" customFormat="1" ht="16.2">
      <c r="A13" s="174" t="s">
        <v>168</v>
      </c>
    </row>
    <row r="14" spans="1:5" s="38" customFormat="1" ht="16.8">
      <c r="A14" s="174" t="s">
        <v>169</v>
      </c>
    </row>
    <row r="15" spans="1:5" s="38" customFormat="1" ht="16.8">
      <c r="A15" s="174" t="s">
        <v>170</v>
      </c>
    </row>
    <row r="16" spans="1:5" s="38" customFormat="1">
      <c r="A16" s="174"/>
    </row>
    <row r="17" spans="1:6">
      <c r="A17" s="181" t="s">
        <v>205</v>
      </c>
    </row>
    <row r="18" spans="1:6" ht="28.8">
      <c r="A18" s="175" t="s">
        <v>10</v>
      </c>
      <c r="B18" s="176" t="s">
        <v>166</v>
      </c>
      <c r="C18" s="179" t="s">
        <v>172</v>
      </c>
    </row>
    <row r="19" spans="1:6">
      <c r="A19" s="175"/>
      <c r="B19" s="176" t="s">
        <v>158</v>
      </c>
      <c r="C19" s="177" t="s">
        <v>162</v>
      </c>
    </row>
    <row r="20" spans="1:6">
      <c r="A20" s="158" t="s">
        <v>16</v>
      </c>
      <c r="B20" s="184">
        <v>232</v>
      </c>
      <c r="C20" s="180">
        <f>B20*($B$2+($B$6-1)*$B$3)/$B$4</f>
        <v>89.812617123471995</v>
      </c>
    </row>
    <row r="21" spans="1:6">
      <c r="A21" s="158" t="s">
        <v>157</v>
      </c>
      <c r="B21" s="184">
        <v>3613.8</v>
      </c>
      <c r="C21" s="180">
        <f>B21*($B$2+($B$6-1)*$B$3)/$B$4</f>
        <v>1398.9863610379446</v>
      </c>
    </row>
    <row r="22" spans="1:6">
      <c r="A22" s="158" t="s">
        <v>22</v>
      </c>
      <c r="B22" s="184">
        <v>17.5</v>
      </c>
      <c r="C22" s="180">
        <f>B22*($B$2+($B$6-1)*$B$3)/$B$4</f>
        <v>6.7746586192274139</v>
      </c>
    </row>
    <row r="23" spans="1:6">
      <c r="A23" s="158" t="s">
        <v>122</v>
      </c>
      <c r="B23" s="184">
        <v>11.8</v>
      </c>
      <c r="C23" s="180">
        <f>B23*($B$2+($B$6-1)*$B$3)/$B$4</f>
        <v>4.5680555261076279</v>
      </c>
    </row>
    <row r="24" spans="1:6">
      <c r="A24" s="173" t="s">
        <v>23</v>
      </c>
      <c r="B24" s="184">
        <v>6.7</v>
      </c>
      <c r="C24" s="180">
        <f>B24*($B$2+($B$6-1)*$B$3)/$B$4</f>
        <v>2.593726442789924</v>
      </c>
    </row>
    <row r="25" spans="1:6">
      <c r="A25" s="173" t="s">
        <v>25</v>
      </c>
      <c r="B25" s="184">
        <v>2.97</v>
      </c>
      <c r="C25" s="180">
        <f t="shared" ref="C25:C26" si="0">B25*($B$2+($B$6-1)*$B$3)/$B$4</f>
        <v>1.1497563485203099</v>
      </c>
    </row>
    <row r="26" spans="1:6">
      <c r="A26" s="173" t="s">
        <v>96</v>
      </c>
      <c r="B26" s="184">
        <v>2.91</v>
      </c>
      <c r="C26" s="180">
        <f t="shared" si="0"/>
        <v>1.1265289475401015</v>
      </c>
    </row>
    <row r="27" spans="1:6">
      <c r="D27" s="157"/>
    </row>
    <row r="29" spans="1:6">
      <c r="A29" s="25" t="s">
        <v>206</v>
      </c>
    </row>
    <row r="30" spans="1:6" s="33" customFormat="1" ht="43.2">
      <c r="A30" s="223" t="s">
        <v>10</v>
      </c>
      <c r="B30" s="179" t="s">
        <v>199</v>
      </c>
      <c r="C30" s="224" t="s">
        <v>196</v>
      </c>
      <c r="D30" s="223" t="s">
        <v>197</v>
      </c>
      <c r="E30" s="179" t="s">
        <v>200</v>
      </c>
      <c r="F30" s="179" t="s">
        <v>198</v>
      </c>
    </row>
    <row r="31" spans="1:6">
      <c r="A31" s="158" t="s">
        <v>16</v>
      </c>
      <c r="B31" s="226">
        <v>210</v>
      </c>
      <c r="C31" s="150">
        <f>C20</f>
        <v>89.812617123471995</v>
      </c>
      <c r="D31" s="221">
        <f>C31/B31*100</f>
        <v>42.767912915939043</v>
      </c>
      <c r="E31" s="222">
        <v>281</v>
      </c>
      <c r="F31" s="203">
        <f>E31*D31/100</f>
        <v>120.1778352937887</v>
      </c>
    </row>
    <row r="32" spans="1:6">
      <c r="A32" s="158" t="s">
        <v>157</v>
      </c>
      <c r="B32" s="222">
        <v>1200</v>
      </c>
      <c r="C32" s="150">
        <f>C21</f>
        <v>1398.9863610379446</v>
      </c>
      <c r="D32" s="221">
        <f t="shared" ref="D32:D36" si="1">C32/B32*100</f>
        <v>116.58219675316204</v>
      </c>
      <c r="E32" s="222">
        <v>1200</v>
      </c>
      <c r="F32" s="203">
        <f t="shared" ref="F32:F36" si="2">E32*D32/100</f>
        <v>1398.9863610379443</v>
      </c>
    </row>
    <row r="33" spans="1:6">
      <c r="A33" s="158" t="s">
        <v>122</v>
      </c>
      <c r="B33" s="222">
        <v>17</v>
      </c>
      <c r="C33" s="150">
        <f>C23</f>
        <v>4.5680555261076279</v>
      </c>
      <c r="D33" s="221">
        <f t="shared" si="1"/>
        <v>26.870914859456636</v>
      </c>
      <c r="E33">
        <v>20</v>
      </c>
      <c r="F33" s="203">
        <f t="shared" si="2"/>
        <v>5.3741829718913277</v>
      </c>
    </row>
    <row r="34" spans="1:6">
      <c r="A34" s="173" t="s">
        <v>23</v>
      </c>
      <c r="B34" s="222">
        <v>145</v>
      </c>
      <c r="C34" s="150">
        <f>C24</f>
        <v>2.593726442789924</v>
      </c>
      <c r="D34" s="221">
        <f t="shared" si="1"/>
        <v>1.7887768570964993</v>
      </c>
      <c r="E34" s="222">
        <v>283</v>
      </c>
      <c r="F34" s="203">
        <f t="shared" si="2"/>
        <v>5.0622385055830925</v>
      </c>
    </row>
    <row r="35" spans="1:6">
      <c r="A35" s="173" t="s">
        <v>25</v>
      </c>
      <c r="B35" s="222">
        <v>118</v>
      </c>
      <c r="C35" s="150">
        <f>C25</f>
        <v>1.1497563485203099</v>
      </c>
      <c r="D35" s="221">
        <f t="shared" si="1"/>
        <v>0.97436978688161868</v>
      </c>
      <c r="E35" s="222">
        <v>148</v>
      </c>
      <c r="F35" s="203">
        <f t="shared" si="2"/>
        <v>1.4420672845847957</v>
      </c>
    </row>
    <row r="36" spans="1:6">
      <c r="A36" s="173" t="s">
        <v>96</v>
      </c>
      <c r="B36" s="222">
        <v>115</v>
      </c>
      <c r="C36" s="150">
        <f>C26</f>
        <v>1.1265289475401015</v>
      </c>
      <c r="D36" s="221">
        <f t="shared" si="1"/>
        <v>0.97959038916530572</v>
      </c>
      <c r="E36" s="222">
        <v>146</v>
      </c>
      <c r="F36" s="203">
        <f t="shared" si="2"/>
        <v>1.4302019681813463</v>
      </c>
    </row>
    <row r="37" spans="1:6">
      <c r="E37" s="185"/>
    </row>
    <row r="38" spans="1:6">
      <c r="A38" s="227" t="s">
        <v>202</v>
      </c>
    </row>
    <row r="39" spans="1:6">
      <c r="A39" s="227" t="s">
        <v>201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R34" sqref="R34"/>
    </sheetView>
  </sheetViews>
  <sheetFormatPr defaultRowHeight="14.4"/>
  <cols>
    <col min="13" max="13" width="19.6640625" customWidth="1"/>
  </cols>
  <sheetData>
    <row r="1" spans="1:13">
      <c r="A1" s="2" t="str">
        <f>Algandmed!B2</f>
        <v>HA-10</v>
      </c>
      <c r="B1" s="16"/>
      <c r="C1" s="17"/>
      <c r="D1" s="3" t="s">
        <v>74</v>
      </c>
      <c r="E1" s="26">
        <f>Algandmed!K2</f>
        <v>7.0590000000000002</v>
      </c>
      <c r="F1" s="3" t="s">
        <v>8</v>
      </c>
      <c r="G1" s="3"/>
      <c r="H1" s="3"/>
      <c r="I1" s="3"/>
      <c r="J1" s="4"/>
      <c r="K1" s="4"/>
      <c r="L1" s="4"/>
      <c r="M1" s="5"/>
    </row>
    <row r="2" spans="1:13">
      <c r="A2" s="6" t="s">
        <v>75</v>
      </c>
      <c r="J2" s="7"/>
      <c r="K2" s="7"/>
      <c r="L2" s="7"/>
      <c r="M2" s="8"/>
    </row>
    <row r="3" spans="1:13">
      <c r="A3" s="6"/>
      <c r="D3" t="s">
        <v>76</v>
      </c>
      <c r="E3" s="9">
        <f>E1*0.25</f>
        <v>1.76475</v>
      </c>
      <c r="F3" t="s">
        <v>77</v>
      </c>
      <c r="J3" s="7"/>
      <c r="K3" s="7"/>
      <c r="L3" s="7"/>
      <c r="M3" s="8"/>
    </row>
    <row r="4" spans="1:13">
      <c r="A4" s="6"/>
      <c r="D4" s="10" t="s">
        <v>78</v>
      </c>
      <c r="E4" s="9">
        <f>20.9/(20.9-6)</f>
        <v>1.4026845637583893</v>
      </c>
      <c r="I4" t="s">
        <v>78</v>
      </c>
      <c r="J4" s="7" t="s">
        <v>79</v>
      </c>
      <c r="K4" s="7"/>
      <c r="L4" s="7"/>
      <c r="M4" s="8"/>
    </row>
    <row r="5" spans="1:13">
      <c r="A5" s="6"/>
      <c r="D5" t="s">
        <v>80</v>
      </c>
      <c r="E5" s="251">
        <f>E3*E4</f>
        <v>2.4753875838926178</v>
      </c>
      <c r="F5" t="s">
        <v>81</v>
      </c>
      <c r="J5" s="7"/>
      <c r="K5" s="7"/>
      <c r="L5" s="7"/>
      <c r="M5" s="8"/>
    </row>
    <row r="6" spans="1:13">
      <c r="A6" s="6" t="s">
        <v>82</v>
      </c>
      <c r="F6">
        <f>Algandmed!G2</f>
        <v>55</v>
      </c>
      <c r="G6" t="s">
        <v>83</v>
      </c>
      <c r="J6" s="7"/>
      <c r="K6" s="7"/>
      <c r="L6" s="7"/>
      <c r="M6" s="8"/>
    </row>
    <row r="7" spans="1:13">
      <c r="A7" s="6"/>
      <c r="D7" t="s">
        <v>84</v>
      </c>
      <c r="E7" s="9">
        <f>E5*(273+F6)/273</f>
        <v>2.9740920421860024</v>
      </c>
      <c r="F7" t="s">
        <v>85</v>
      </c>
      <c r="J7" s="7"/>
      <c r="K7" s="7"/>
      <c r="L7" s="7"/>
      <c r="M7" s="8"/>
    </row>
    <row r="8" spans="1:13">
      <c r="A8" s="6" t="s">
        <v>86</v>
      </c>
      <c r="I8" t="s">
        <v>87</v>
      </c>
      <c r="J8" s="7">
        <f>Algandmed!E2</f>
        <v>0.8</v>
      </c>
      <c r="K8" s="7" t="s">
        <v>88</v>
      </c>
      <c r="L8" s="7"/>
      <c r="M8" s="8"/>
    </row>
    <row r="9" spans="1:13" ht="15" thickBot="1">
      <c r="A9" s="11"/>
      <c r="B9" s="12"/>
      <c r="C9" s="12"/>
      <c r="D9" s="12" t="s">
        <v>89</v>
      </c>
      <c r="E9" s="115">
        <f>4*E7/(3.14*J8*J8)</f>
        <v>5.9197691922492082</v>
      </c>
      <c r="F9" s="12" t="s">
        <v>90</v>
      </c>
      <c r="G9" s="12"/>
      <c r="H9" s="12"/>
      <c r="I9" s="12"/>
      <c r="J9" s="13"/>
      <c r="K9" s="13"/>
      <c r="L9" s="13"/>
      <c r="M9" s="14"/>
    </row>
    <row r="10" spans="1:13" ht="15" thickBot="1">
      <c r="J10" s="7"/>
      <c r="K10" s="7"/>
      <c r="L10" s="7"/>
      <c r="M10" s="15"/>
    </row>
    <row r="11" spans="1:13">
      <c r="A11" s="2" t="str">
        <f>Algandmed!B4</f>
        <v>HA-20</v>
      </c>
      <c r="B11" s="16"/>
      <c r="C11" s="17"/>
      <c r="D11" s="3" t="s">
        <v>74</v>
      </c>
      <c r="E11" s="26">
        <f>Algandmed!K4</f>
        <v>8.6760000000000002</v>
      </c>
      <c r="F11" s="3" t="s">
        <v>8</v>
      </c>
      <c r="G11" s="3"/>
      <c r="H11" s="3"/>
      <c r="I11" s="3"/>
      <c r="J11" s="4"/>
      <c r="K11" s="4"/>
      <c r="L11" s="4"/>
      <c r="M11" s="5"/>
    </row>
    <row r="12" spans="1:13">
      <c r="A12" s="6" t="s">
        <v>75</v>
      </c>
      <c r="J12" s="7"/>
      <c r="K12" s="7"/>
      <c r="L12" s="7"/>
      <c r="M12" s="8"/>
    </row>
    <row r="13" spans="1:13">
      <c r="A13" s="6"/>
      <c r="D13" t="s">
        <v>76</v>
      </c>
      <c r="E13" s="9">
        <f>E11*0.25</f>
        <v>2.169</v>
      </c>
      <c r="F13" t="s">
        <v>77</v>
      </c>
      <c r="J13" s="7"/>
      <c r="K13" s="7"/>
      <c r="L13" s="7"/>
      <c r="M13" s="8"/>
    </row>
    <row r="14" spans="1:13">
      <c r="A14" s="6"/>
      <c r="D14" s="10" t="s">
        <v>78</v>
      </c>
      <c r="E14" s="9">
        <f>20.9/(20.9-3)</f>
        <v>1.1675977653631284</v>
      </c>
      <c r="I14" t="s">
        <v>78</v>
      </c>
      <c r="J14" s="7" t="s">
        <v>79</v>
      </c>
      <c r="K14" s="7"/>
      <c r="L14" s="7"/>
      <c r="M14" s="8"/>
    </row>
    <row r="15" spans="1:13">
      <c r="A15" s="6"/>
      <c r="D15" t="s">
        <v>80</v>
      </c>
      <c r="E15" s="9">
        <f>E13*E14</f>
        <v>2.5325195530726257</v>
      </c>
      <c r="F15" t="s">
        <v>81</v>
      </c>
      <c r="J15" s="7"/>
      <c r="K15" s="7"/>
      <c r="L15" s="7"/>
      <c r="M15" s="8"/>
    </row>
    <row r="16" spans="1:13">
      <c r="A16" s="6" t="s">
        <v>82</v>
      </c>
      <c r="F16">
        <f>Algandmed!G4</f>
        <v>170</v>
      </c>
      <c r="G16" t="s">
        <v>83</v>
      </c>
      <c r="J16" s="7"/>
      <c r="K16" s="7"/>
      <c r="L16" s="7"/>
      <c r="M16" s="8"/>
    </row>
    <row r="17" spans="1:13">
      <c r="A17" s="6"/>
      <c r="D17" t="s">
        <v>84</v>
      </c>
      <c r="E17" s="9">
        <f>E15*(273+F16)/273</f>
        <v>4.1095463809933079</v>
      </c>
      <c r="F17" t="s">
        <v>85</v>
      </c>
      <c r="J17" s="7"/>
      <c r="K17" s="7"/>
      <c r="L17" s="7"/>
      <c r="M17" s="8"/>
    </row>
    <row r="18" spans="1:13">
      <c r="A18" s="6" t="s">
        <v>86</v>
      </c>
      <c r="I18" t="s">
        <v>87</v>
      </c>
      <c r="J18" s="7">
        <f>Algandmed!E4</f>
        <v>0.9</v>
      </c>
      <c r="K18" s="7" t="s">
        <v>88</v>
      </c>
      <c r="L18" s="7"/>
      <c r="M18" s="8"/>
    </row>
    <row r="19" spans="1:13" ht="15" thickBot="1">
      <c r="A19" s="11"/>
      <c r="B19" s="12"/>
      <c r="C19" s="12"/>
      <c r="D19" s="12" t="s">
        <v>89</v>
      </c>
      <c r="E19" s="115">
        <f>4*E17/(3.14*J18*J18)</f>
        <v>6.4630752237057605</v>
      </c>
      <c r="F19" s="12" t="s">
        <v>90</v>
      </c>
      <c r="G19" s="12"/>
      <c r="H19" s="12"/>
      <c r="I19" s="12"/>
      <c r="J19" s="13"/>
      <c r="K19" s="13"/>
      <c r="L19" s="13"/>
      <c r="M19" s="14"/>
    </row>
    <row r="22" spans="1:13" ht="15" thickBot="1"/>
    <row r="23" spans="1:13">
      <c r="A23" s="2" t="str">
        <f>Algandmed!B5</f>
        <v>HA-30</v>
      </c>
      <c r="B23" s="16"/>
      <c r="C23" s="17"/>
      <c r="D23" s="3" t="s">
        <v>74</v>
      </c>
      <c r="E23" s="26">
        <f>Algandmed!K5</f>
        <v>5.8949999999999996</v>
      </c>
      <c r="F23" s="3" t="s">
        <v>8</v>
      </c>
      <c r="G23" s="3"/>
      <c r="H23" s="3"/>
      <c r="I23" s="3"/>
      <c r="J23" s="4"/>
      <c r="K23" s="4"/>
      <c r="L23" s="4"/>
      <c r="M23" s="5"/>
    </row>
    <row r="24" spans="1:13">
      <c r="A24" s="6" t="s">
        <v>75</v>
      </c>
      <c r="J24" s="7"/>
      <c r="K24" s="7"/>
      <c r="L24" s="7"/>
      <c r="M24" s="8"/>
    </row>
    <row r="25" spans="1:13">
      <c r="A25" s="6"/>
      <c r="D25" t="s">
        <v>76</v>
      </c>
      <c r="E25" s="9">
        <f>E23*0.25</f>
        <v>1.4737499999999999</v>
      </c>
      <c r="F25" t="s">
        <v>77</v>
      </c>
      <c r="J25" s="7"/>
      <c r="K25" s="7"/>
      <c r="L25" s="7"/>
      <c r="M25" s="8"/>
    </row>
    <row r="26" spans="1:13">
      <c r="A26" s="6"/>
      <c r="D26" s="10" t="s">
        <v>78</v>
      </c>
      <c r="E26" s="9">
        <f>20.9/(20.9-3)</f>
        <v>1.1675977653631284</v>
      </c>
      <c r="I26" t="s">
        <v>78</v>
      </c>
      <c r="J26" s="7" t="s">
        <v>79</v>
      </c>
      <c r="K26" s="7"/>
      <c r="L26" s="7"/>
      <c r="M26" s="8"/>
    </row>
    <row r="27" spans="1:13">
      <c r="A27" s="6"/>
      <c r="D27" t="s">
        <v>80</v>
      </c>
      <c r="E27" s="9">
        <f>E25*E26</f>
        <v>1.7207472067039105</v>
      </c>
      <c r="F27" t="s">
        <v>81</v>
      </c>
      <c r="J27" s="7"/>
      <c r="K27" s="7"/>
      <c r="L27" s="7"/>
      <c r="M27" s="8"/>
    </row>
    <row r="28" spans="1:13">
      <c r="A28" s="6" t="s">
        <v>82</v>
      </c>
      <c r="F28">
        <f>Algandmed!G5</f>
        <v>170</v>
      </c>
      <c r="G28" t="s">
        <v>83</v>
      </c>
      <c r="J28" s="7"/>
      <c r="K28" s="7"/>
      <c r="L28" s="7"/>
      <c r="M28" s="8"/>
    </row>
    <row r="29" spans="1:13">
      <c r="A29" s="6"/>
      <c r="D29" t="s">
        <v>84</v>
      </c>
      <c r="E29" s="9">
        <f>E27*(273+F28)/273</f>
        <v>2.7922747713180671</v>
      </c>
      <c r="F29" t="s">
        <v>85</v>
      </c>
      <c r="J29" s="7"/>
      <c r="K29" s="7"/>
      <c r="L29" s="7"/>
      <c r="M29" s="8"/>
    </row>
    <row r="30" spans="1:13">
      <c r="A30" s="6" t="s">
        <v>86</v>
      </c>
      <c r="I30" t="s">
        <v>87</v>
      </c>
      <c r="J30" s="7">
        <f>Algandmed!E5</f>
        <v>0.7</v>
      </c>
      <c r="K30" s="7" t="s">
        <v>88</v>
      </c>
      <c r="L30" s="7"/>
      <c r="M30" s="8"/>
    </row>
    <row r="31" spans="1:13" ht="15" thickBot="1">
      <c r="A31" s="11"/>
      <c r="B31" s="12"/>
      <c r="C31" s="12"/>
      <c r="D31" s="12" t="s">
        <v>89</v>
      </c>
      <c r="E31" s="115">
        <f>4*E29/(3.14*J30*J30)</f>
        <v>7.2592610719305011</v>
      </c>
      <c r="F31" s="12" t="s">
        <v>90</v>
      </c>
      <c r="G31" s="12"/>
      <c r="H31" s="12"/>
      <c r="I31" s="12"/>
      <c r="J31" s="13"/>
      <c r="K31" s="13"/>
      <c r="L31" s="13"/>
      <c r="M31" s="14"/>
    </row>
    <row r="33" spans="1:13" ht="15" thickBot="1"/>
    <row r="34" spans="1:13">
      <c r="A34" s="2" t="str">
        <f>Algandmed!B6</f>
        <v>HA-40</v>
      </c>
      <c r="B34" s="16"/>
      <c r="C34" s="17"/>
      <c r="D34" s="3" t="s">
        <v>74</v>
      </c>
      <c r="E34" s="26">
        <f>Algandmed!K6</f>
        <v>2.1619999999999999</v>
      </c>
      <c r="F34" s="3" t="s">
        <v>8</v>
      </c>
      <c r="G34" s="3"/>
      <c r="H34" s="3"/>
      <c r="I34" s="3"/>
      <c r="J34" s="4"/>
      <c r="K34" s="4"/>
      <c r="L34" s="4"/>
      <c r="M34" s="5"/>
    </row>
    <row r="35" spans="1:13">
      <c r="A35" s="6" t="s">
        <v>75</v>
      </c>
      <c r="J35" s="7"/>
      <c r="K35" s="7"/>
      <c r="L35" s="7"/>
      <c r="M35" s="8"/>
    </row>
    <row r="36" spans="1:13">
      <c r="A36" s="6"/>
      <c r="D36" t="s">
        <v>76</v>
      </c>
      <c r="E36" s="9">
        <f>E34*0.25</f>
        <v>0.54049999999999998</v>
      </c>
      <c r="F36" t="s">
        <v>77</v>
      </c>
      <c r="J36" s="7"/>
      <c r="K36" s="7"/>
      <c r="L36" s="7"/>
      <c r="M36" s="8"/>
    </row>
    <row r="37" spans="1:13">
      <c r="A37" s="6"/>
      <c r="D37" s="10" t="s">
        <v>78</v>
      </c>
      <c r="E37" s="9">
        <f>20.9/(20.9-3)</f>
        <v>1.1675977653631284</v>
      </c>
      <c r="I37" t="s">
        <v>78</v>
      </c>
      <c r="J37" s="7" t="s">
        <v>79</v>
      </c>
      <c r="K37" s="7"/>
      <c r="L37" s="7"/>
      <c r="M37" s="8"/>
    </row>
    <row r="38" spans="1:13">
      <c r="A38" s="6"/>
      <c r="D38" t="s">
        <v>80</v>
      </c>
      <c r="E38" s="9">
        <f>E36*E37</f>
        <v>0.63108659217877094</v>
      </c>
      <c r="F38" t="s">
        <v>81</v>
      </c>
      <c r="J38" s="7"/>
      <c r="K38" s="7"/>
      <c r="L38" s="7"/>
      <c r="M38" s="8"/>
    </row>
    <row r="39" spans="1:13">
      <c r="A39" s="6" t="s">
        <v>82</v>
      </c>
      <c r="F39">
        <f>Algandmed!G6</f>
        <v>170</v>
      </c>
      <c r="G39" t="s">
        <v>83</v>
      </c>
      <c r="J39" s="7"/>
      <c r="K39" s="7"/>
      <c r="L39" s="7"/>
      <c r="M39" s="8"/>
    </row>
    <row r="40" spans="1:13">
      <c r="A40" s="6"/>
      <c r="D40" t="s">
        <v>84</v>
      </c>
      <c r="E40" s="9">
        <f>E38*(273+F39)/273</f>
        <v>1.0240709169787383</v>
      </c>
      <c r="F40" t="s">
        <v>85</v>
      </c>
      <c r="J40" s="7"/>
      <c r="K40" s="7"/>
      <c r="L40" s="7"/>
      <c r="M40" s="8"/>
    </row>
    <row r="41" spans="1:13">
      <c r="A41" s="6" t="s">
        <v>86</v>
      </c>
      <c r="I41" t="s">
        <v>87</v>
      </c>
      <c r="J41" s="7">
        <f>Algandmed!E6</f>
        <v>0.35</v>
      </c>
      <c r="K41" s="7" t="s">
        <v>88</v>
      </c>
      <c r="L41" s="7"/>
      <c r="M41" s="8"/>
    </row>
    <row r="42" spans="1:13" ht="15" thickBot="1">
      <c r="A42" s="11"/>
      <c r="B42" s="12"/>
      <c r="C42" s="12"/>
      <c r="D42" s="12" t="s">
        <v>89</v>
      </c>
      <c r="E42" s="115">
        <f>4*E40/(3.14*J41*J41)</f>
        <v>10.649379092460558</v>
      </c>
      <c r="F42" s="12" t="s">
        <v>90</v>
      </c>
      <c r="G42" s="12"/>
      <c r="H42" s="12"/>
      <c r="I42" s="12"/>
      <c r="J42" s="13"/>
      <c r="K42" s="13"/>
      <c r="L42" s="13"/>
      <c r="M4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zoomScaleNormal="100" workbookViewId="0">
      <selection activeCell="J33" sqref="J33"/>
    </sheetView>
  </sheetViews>
  <sheetFormatPr defaultRowHeight="14.4"/>
  <cols>
    <col min="1" max="1" width="11.5546875" bestFit="1" customWidth="1"/>
    <col min="2" max="2" width="33.5546875" customWidth="1"/>
    <col min="3" max="10" width="14.109375" customWidth="1"/>
    <col min="11" max="12" width="15.33203125" customWidth="1"/>
    <col min="18" max="18" width="10.5546875" bestFit="1" customWidth="1"/>
  </cols>
  <sheetData>
    <row r="1" spans="1:18">
      <c r="C1" s="293" t="s">
        <v>103</v>
      </c>
      <c r="D1" s="293"/>
      <c r="E1" s="293" t="s">
        <v>104</v>
      </c>
      <c r="F1" s="293"/>
      <c r="G1" s="293" t="s">
        <v>105</v>
      </c>
      <c r="H1" s="293"/>
      <c r="I1" s="293" t="s">
        <v>106</v>
      </c>
      <c r="J1" s="293"/>
      <c r="K1" s="148" t="s">
        <v>146</v>
      </c>
      <c r="L1" s="148" t="s">
        <v>147</v>
      </c>
    </row>
    <row r="2" spans="1:18" ht="43.2">
      <c r="A2" s="200" t="s">
        <v>9</v>
      </c>
      <c r="B2" s="82" t="s">
        <v>10</v>
      </c>
      <c r="C2" s="82" t="s">
        <v>14</v>
      </c>
      <c r="D2" s="82" t="s">
        <v>13</v>
      </c>
      <c r="E2" s="82" t="s">
        <v>14</v>
      </c>
      <c r="F2" s="82" t="s">
        <v>13</v>
      </c>
      <c r="G2" s="82" t="s">
        <v>14</v>
      </c>
      <c r="H2" s="82" t="s">
        <v>13</v>
      </c>
      <c r="I2" s="82" t="s">
        <v>14</v>
      </c>
      <c r="J2" s="82" t="s">
        <v>13</v>
      </c>
      <c r="K2" s="82" t="s">
        <v>14</v>
      </c>
      <c r="L2" s="82" t="s">
        <v>13</v>
      </c>
    </row>
    <row r="3" spans="1:18">
      <c r="A3" s="83" t="s">
        <v>15</v>
      </c>
      <c r="B3" s="84" t="s">
        <v>16</v>
      </c>
      <c r="C3" s="153">
        <f>ROUND('HA-10 püüdeseadmetega'!L8,4)</f>
        <v>0.84830000000000005</v>
      </c>
      <c r="D3" s="154">
        <f>'HA-10 püüdeseadmetega'!M8</f>
        <v>13.495670458904236</v>
      </c>
      <c r="E3" s="153">
        <f>ROUND('Maagaasi põletusseadmed'!C8,4)</f>
        <v>0.37130000000000002</v>
      </c>
      <c r="F3" s="154">
        <f>ROUND('Maagaasi põletusseadmed'!D8,3)</f>
        <v>2.0369999999999999</v>
      </c>
      <c r="G3" s="153">
        <f>'Maagaasi põletusseadmed'!G8</f>
        <v>0.25230599999999997</v>
      </c>
      <c r="H3" s="154">
        <f>ROUND('Maagaasi põletusseadmed'!H8,3)</f>
        <v>3.056</v>
      </c>
      <c r="I3" s="153">
        <f>'Maagaasi põletusseadmed'!K8</f>
        <v>9.2533599999999994E-2</v>
      </c>
      <c r="J3" s="154">
        <f>ROUND('Maagaasi põletusseadmed'!L8,3)</f>
        <v>2.1829999999999998</v>
      </c>
      <c r="K3" s="150">
        <f>C3+E3</f>
        <v>1.2196</v>
      </c>
      <c r="L3" s="203">
        <f>ROUND((D3+H3+J3+F3),3)</f>
        <v>20.771999999999998</v>
      </c>
      <c r="R3" s="205"/>
    </row>
    <row r="4" spans="1:18">
      <c r="A4" s="83" t="s">
        <v>18</v>
      </c>
      <c r="B4" s="84" t="s">
        <v>19</v>
      </c>
      <c r="C4" s="153">
        <f>ROUND('HA-10 püüdeseadmetega'!L9,4)</f>
        <v>9.8754000000000008</v>
      </c>
      <c r="D4" s="154">
        <f>'HA-10 püüdeseadmetega'!M9</f>
        <v>172.12918338256713</v>
      </c>
      <c r="E4" s="153">
        <f>ROUND('Maagaasi põletusseadmed'!C9,4)</f>
        <v>0.26029999999999998</v>
      </c>
      <c r="F4" s="154">
        <f>ROUND('Maagaasi põletusseadmed'!D9,3)</f>
        <v>1.4279999999999999</v>
      </c>
      <c r="G4" s="153">
        <f>'Maagaasi põletusseadmed'!G9</f>
        <v>0.17685000000000001</v>
      </c>
      <c r="H4" s="154">
        <f>ROUND('Maagaasi põletusseadmed'!H9,3)</f>
        <v>2.1419999999999999</v>
      </c>
      <c r="I4" s="153">
        <f>'Maagaasi põletusseadmed'!K9</f>
        <v>6.4860000000000001E-2</v>
      </c>
      <c r="J4" s="154">
        <f>ROUND('Maagaasi põletusseadmed'!L9,3)</f>
        <v>1.53</v>
      </c>
      <c r="K4" s="150">
        <f t="shared" ref="K4:K17" si="0">C4+E4</f>
        <v>10.1357</v>
      </c>
      <c r="L4" s="203">
        <f>ROUND((D4+H4+J4+F4),3)</f>
        <v>177.22900000000001</v>
      </c>
    </row>
    <row r="5" spans="1:18">
      <c r="A5" s="85" t="s">
        <v>20</v>
      </c>
      <c r="B5" s="84" t="s">
        <v>134</v>
      </c>
      <c r="C5" s="153">
        <f>ROUND('HA-10 püüdeseadmetega'!L10,4)</f>
        <v>3.7900000000000003E-2</v>
      </c>
      <c r="D5" s="154">
        <f>'HA-10 püüdeseadmetega'!M10</f>
        <v>0.60350731228596632</v>
      </c>
      <c r="E5" s="153">
        <f>ROUND('Maagaasi põletusseadmed'!C10,4)</f>
        <v>1.7399999999999999E-2</v>
      </c>
      <c r="F5" s="154">
        <f>ROUND('Maagaasi põletusseadmed'!D10,3)</f>
        <v>9.5000000000000001E-2</v>
      </c>
      <c r="G5" s="153">
        <f>'Maagaasi põletusseadmed'!G10</f>
        <v>1.1789999999999998E-2</v>
      </c>
      <c r="H5" s="154">
        <f>ROUND('Maagaasi põletusseadmed'!H10,3)</f>
        <v>0.14299999999999999</v>
      </c>
      <c r="I5" s="153">
        <f>'Maagaasi põletusseadmed'!K10</f>
        <v>4.3239999999999997E-3</v>
      </c>
      <c r="J5" s="154">
        <f>ROUND('Maagaasi põletusseadmed'!L10,3)</f>
        <v>0.10199999999999999</v>
      </c>
      <c r="K5" s="150">
        <f t="shared" si="0"/>
        <v>5.5300000000000002E-2</v>
      </c>
      <c r="L5" s="203">
        <f t="shared" ref="L5:L18" si="1">ROUND((D5+H5+J5+F5),3)</f>
        <v>0.94399999999999995</v>
      </c>
    </row>
    <row r="6" spans="1:18">
      <c r="A6" s="86" t="s">
        <v>21</v>
      </c>
      <c r="B6" s="84" t="s">
        <v>22</v>
      </c>
      <c r="C6" s="153">
        <f>ROUND('HA-10 püüdeseadmetega'!L11,4)</f>
        <v>2.5836999999999999</v>
      </c>
      <c r="D6" s="154">
        <f>'HA-10 püüdeseadmetega'!M11</f>
        <v>41.102352941176463</v>
      </c>
      <c r="E6" s="153">
        <f>ROUND('Maagaasi põletusseadmed'!C11,4)</f>
        <v>4.4000000000000003E-3</v>
      </c>
      <c r="F6" s="154">
        <f>ROUND('Maagaasi põletusseadmed'!D11,3)</f>
        <v>2.4E-2</v>
      </c>
      <c r="G6" s="153">
        <f>'Maagaasi põletusseadmed'!G11</f>
        <v>3.0064499999999995E-3</v>
      </c>
      <c r="H6" s="154">
        <f>ROUND('Maagaasi põletusseadmed'!H11,3)</f>
        <v>3.5999999999999997E-2</v>
      </c>
      <c r="I6" s="153">
        <f>'Maagaasi põletusseadmed'!K11</f>
        <v>1.1026199999999999E-3</v>
      </c>
      <c r="J6" s="154">
        <f>ROUND('Maagaasi põletusseadmed'!L11,3)</f>
        <v>2.5999999999999999E-2</v>
      </c>
      <c r="K6" s="150">
        <f>C6+E6</f>
        <v>2.5880999999999998</v>
      </c>
      <c r="L6" s="203">
        <f t="shared" si="1"/>
        <v>41.188000000000002</v>
      </c>
    </row>
    <row r="7" spans="1:18" s="157" customFormat="1">
      <c r="A7" s="87" t="s">
        <v>23</v>
      </c>
      <c r="B7" s="84" t="s">
        <v>24</v>
      </c>
      <c r="C7" s="153">
        <f>ROUND('HA-10 püüdeseadmetega'!L12,4)</f>
        <v>3.5700000000000003E-2</v>
      </c>
      <c r="D7" s="154">
        <f>'HA-10 püüdeseadmetega'!M12</f>
        <v>0.56847672858071729</v>
      </c>
      <c r="E7" s="153">
        <f>ROUND('Maagaasi põletusseadmed'!C12,4)</f>
        <v>3.8999999999999998E-3</v>
      </c>
      <c r="F7" s="154">
        <f>ROUND('Maagaasi põletusseadmed'!D12,3)</f>
        <v>2.1000000000000001E-2</v>
      </c>
      <c r="G7" s="153">
        <f>'Maagaasi põletusseadmed'!G12</f>
        <v>2.6527499999999997E-3</v>
      </c>
      <c r="H7" s="154">
        <f>ROUND('Maagaasi põletusseadmed'!H12,3)</f>
        <v>3.2000000000000001E-2</v>
      </c>
      <c r="I7" s="153">
        <f>'Maagaasi põletusseadmed'!K12</f>
        <v>9.7289999999999996E-4</v>
      </c>
      <c r="J7" s="154">
        <f>ROUND('Maagaasi põletusseadmed'!L12,3)</f>
        <v>2.3E-2</v>
      </c>
      <c r="K7" s="154">
        <f t="shared" si="0"/>
        <v>3.9600000000000003E-2</v>
      </c>
      <c r="L7" s="203">
        <f t="shared" si="1"/>
        <v>0.64400000000000002</v>
      </c>
    </row>
    <row r="8" spans="1:18" s="157" customFormat="1">
      <c r="A8" s="88" t="s">
        <v>25</v>
      </c>
      <c r="B8" s="84" t="s">
        <v>26</v>
      </c>
      <c r="C8" s="153">
        <f>ROUND('HA-10 püüdeseadmetega'!L13,4)</f>
        <v>1.0200000000000001E-2</v>
      </c>
      <c r="D8" s="154">
        <f>'HA-10 püüdeseadmetega'!M13</f>
        <v>0.16194055089066112</v>
      </c>
      <c r="E8" s="153">
        <f>ROUND('Maagaasi põletusseadmed'!C13,4)</f>
        <v>3.8999999999999998E-3</v>
      </c>
      <c r="F8" s="154">
        <f>ROUND('Maagaasi põletusseadmed'!D13,3)</f>
        <v>2.1000000000000001E-2</v>
      </c>
      <c r="G8" s="153">
        <f>'Maagaasi põletusseadmed'!G13</f>
        <v>2.6527499999999997E-3</v>
      </c>
      <c r="H8" s="154">
        <f>ROUND('Maagaasi põletusseadmed'!H13,3)</f>
        <v>3.2000000000000001E-2</v>
      </c>
      <c r="I8" s="153">
        <f>'Maagaasi põletusseadmed'!K13</f>
        <v>9.7289999999999996E-4</v>
      </c>
      <c r="J8" s="154">
        <f>ROUND('Maagaasi põletusseadmed'!L13,3)</f>
        <v>2.3E-2</v>
      </c>
      <c r="K8" s="154">
        <f t="shared" si="0"/>
        <v>1.4100000000000001E-2</v>
      </c>
      <c r="L8" s="203">
        <f t="shared" si="1"/>
        <v>0.23799999999999999</v>
      </c>
    </row>
    <row r="9" spans="1:18" s="157" customFormat="1">
      <c r="A9" s="88" t="s">
        <v>27</v>
      </c>
      <c r="B9" s="84" t="s">
        <v>28</v>
      </c>
      <c r="C9" s="153">
        <f>ROUND('HA-10 püüdeseadmetega'!L14,4)</f>
        <v>1.01E-2</v>
      </c>
      <c r="D9" s="154">
        <f>'HA-10 püüdeseadmetega'!M14</f>
        <v>0.16060810552184474</v>
      </c>
      <c r="E9" s="153">
        <f>ROUND('Maagaasi põletusseadmed'!C14,4)</f>
        <v>3.8999999999999998E-3</v>
      </c>
      <c r="F9" s="154">
        <f>ROUND('Maagaasi põletusseadmed'!D14,3)</f>
        <v>2.1000000000000001E-2</v>
      </c>
      <c r="G9" s="153">
        <f>'Maagaasi põletusseadmed'!G14</f>
        <v>2.6527499999999997E-3</v>
      </c>
      <c r="H9" s="154">
        <f>ROUND('Maagaasi põletusseadmed'!H14,3)</f>
        <v>3.2000000000000001E-2</v>
      </c>
      <c r="I9" s="153">
        <f>'Maagaasi põletusseadmed'!K14</f>
        <v>9.7289999999999996E-4</v>
      </c>
      <c r="J9" s="154">
        <f>ROUND('Maagaasi põletusseadmed'!L14,3)</f>
        <v>2.3E-2</v>
      </c>
      <c r="K9" s="154">
        <f t="shared" si="0"/>
        <v>1.3999999999999999E-2</v>
      </c>
      <c r="L9" s="203">
        <f t="shared" si="1"/>
        <v>0.23699999999999999</v>
      </c>
    </row>
    <row r="10" spans="1:18">
      <c r="A10" s="89" t="s">
        <v>32</v>
      </c>
      <c r="B10" s="90" t="s">
        <v>1</v>
      </c>
      <c r="C10" s="153">
        <f>ROUND('HA-10 püüdeseadmetega'!L16,4)</f>
        <v>0.70589999999999997</v>
      </c>
      <c r="D10" s="154">
        <f>'HA-10 püüdeseadmetega'!M16</f>
        <v>11.229749999999999</v>
      </c>
      <c r="E10" s="153">
        <f>ROUND('Maagaasi põletusseadmed'!C16,4)</f>
        <v>0</v>
      </c>
      <c r="F10" s="154">
        <f>ROUND('Maagaasi põletusseadmed'!D16,3)</f>
        <v>0</v>
      </c>
      <c r="G10" s="153">
        <f>'Maagaasi põletusseadmed'!G16</f>
        <v>8.8425000000000005E-6</v>
      </c>
      <c r="H10" s="154">
        <f>ROUND('Maagaasi põletusseadmed'!H16,3)</f>
        <v>0</v>
      </c>
      <c r="I10" s="153">
        <f>'Maagaasi põletusseadmed'!K16</f>
        <v>3.2429999999999997E-6</v>
      </c>
      <c r="J10" s="154">
        <f>ROUND('Maagaasi põletusseadmed'!L16,3)</f>
        <v>0</v>
      </c>
      <c r="K10" s="154">
        <f t="shared" si="0"/>
        <v>0.70589999999999997</v>
      </c>
      <c r="L10" s="203">
        <f t="shared" si="1"/>
        <v>11.23</v>
      </c>
      <c r="M10" s="157"/>
      <c r="N10" s="157"/>
    </row>
    <row r="11" spans="1:18">
      <c r="A11" s="89" t="s">
        <v>34</v>
      </c>
      <c r="B11" s="91" t="s">
        <v>35</v>
      </c>
      <c r="C11" s="153">
        <f>ROUND('HA-10 püüdeseadmetega'!L17,4)</f>
        <v>9.1800000000000007E-2</v>
      </c>
      <c r="D11" s="154">
        <f>'HA-10 püüdeseadmetega'!M17</f>
        <v>1.5995005</v>
      </c>
      <c r="E11" s="153">
        <f>ROUND('Maagaasi põletusseadmed'!C17,4)</f>
        <v>0</v>
      </c>
      <c r="F11" s="154">
        <f>ROUND('Maagaasi põletusseadmed'!D17,3)</f>
        <v>0</v>
      </c>
      <c r="G11" s="153">
        <f>'Maagaasi põletusseadmed'!G17</f>
        <v>1.4737500000000001E-6</v>
      </c>
      <c r="H11" s="154">
        <f>ROUND('Maagaasi põletusseadmed'!H17,3)</f>
        <v>0</v>
      </c>
      <c r="I11" s="153">
        <f>'Maagaasi põletusseadmed'!K17</f>
        <v>5.4049999999999995E-7</v>
      </c>
      <c r="J11" s="154">
        <f>ROUND('Maagaasi põletusseadmed'!L17,3)</f>
        <v>0</v>
      </c>
      <c r="K11" s="154">
        <f t="shared" si="0"/>
        <v>9.1800000000000007E-2</v>
      </c>
      <c r="L11" s="203">
        <f t="shared" si="1"/>
        <v>1.6</v>
      </c>
      <c r="M11" s="157"/>
      <c r="N11" s="157"/>
    </row>
    <row r="12" spans="1:18">
      <c r="A12" s="89" t="s">
        <v>36</v>
      </c>
      <c r="B12" s="91" t="s">
        <v>37</v>
      </c>
      <c r="C12" s="153">
        <f>ROUND('HA-10 püüdeseadmetega'!L18,4)</f>
        <v>6.3500000000000001E-2</v>
      </c>
      <c r="D12" s="154">
        <f>'HA-10 püüdeseadmetega'!M18</f>
        <v>1.0106774999999999</v>
      </c>
      <c r="E12" s="153">
        <f>ROUND('Maagaasi põletusseadmed'!C18,4)</f>
        <v>8.9999999999999998E-4</v>
      </c>
      <c r="F12" s="154">
        <v>0</v>
      </c>
      <c r="G12" s="153">
        <f>'Maagaasi põletusseadmed'!G18</f>
        <v>5.8950000000000007E-4</v>
      </c>
      <c r="H12" s="154">
        <v>0</v>
      </c>
      <c r="I12" s="153">
        <f>'Maagaasi põletusseadmed'!K18</f>
        <v>2.162E-4</v>
      </c>
      <c r="J12" s="154">
        <v>0</v>
      </c>
      <c r="K12" s="154">
        <f t="shared" si="0"/>
        <v>6.4399999999999999E-2</v>
      </c>
      <c r="L12" s="203">
        <f t="shared" si="1"/>
        <v>1.0109999999999999</v>
      </c>
      <c r="M12" s="157"/>
      <c r="N12" s="157"/>
    </row>
    <row r="13" spans="1:18" s="157" customFormat="1">
      <c r="A13" s="89" t="s">
        <v>39</v>
      </c>
      <c r="B13" s="91" t="s">
        <v>3</v>
      </c>
      <c r="C13" s="153">
        <f>ROUND('HA-10 püüdeseadmetega'!L20,4)</f>
        <v>0.16239999999999999</v>
      </c>
      <c r="D13" s="154">
        <f>'HA-10 püüdeseadmetega'!M20</f>
        <v>2.8298855000000001</v>
      </c>
      <c r="E13" s="153">
        <f>ROUND('Maagaasi põletusseadmed'!C20,4)</f>
        <v>0</v>
      </c>
      <c r="F13" s="154">
        <f>ROUND('Maagaasi põletusseadmed'!D20,3)</f>
        <v>0</v>
      </c>
      <c r="G13" s="153">
        <f>'Maagaasi põletusseadmed'!G20</f>
        <v>4.4801999999999999E-6</v>
      </c>
      <c r="H13" s="154">
        <f>ROUND('Maagaasi põletusseadmed'!H20,3)</f>
        <v>0</v>
      </c>
      <c r="I13" s="153">
        <f>'Maagaasi põletusseadmed'!K20</f>
        <v>1.6431200000000001E-6</v>
      </c>
      <c r="J13" s="154">
        <f>ROUND('Maagaasi põletusseadmed'!L20,3)</f>
        <v>0</v>
      </c>
      <c r="K13" s="154">
        <f t="shared" si="0"/>
        <v>0.16239999999999999</v>
      </c>
      <c r="L13" s="203">
        <f t="shared" si="1"/>
        <v>2.83</v>
      </c>
    </row>
    <row r="14" spans="1:18" s="157" customFormat="1">
      <c r="A14" s="89" t="s">
        <v>40</v>
      </c>
      <c r="B14" s="91" t="s">
        <v>41</v>
      </c>
      <c r="C14" s="153">
        <f>ROUND('HA-10 püüdeseadmetega'!L21,4)</f>
        <v>0.14119999999999999</v>
      </c>
      <c r="D14" s="154">
        <f>'HA-10 püüdeseadmetega'!M21</f>
        <v>2.4607700000000001</v>
      </c>
      <c r="E14" s="153">
        <f>ROUND('Maagaasi põletusseadmed'!C21,4)</f>
        <v>0</v>
      </c>
      <c r="F14" s="154">
        <f>ROUND('Maagaasi põletusseadmed'!D21,3)</f>
        <v>0</v>
      </c>
      <c r="G14" s="153">
        <f>'Maagaasi põletusseadmed'!G21</f>
        <v>4.4801999999999999E-6</v>
      </c>
      <c r="H14" s="154">
        <f>ROUND('Maagaasi põletusseadmed'!H21,3)</f>
        <v>0</v>
      </c>
      <c r="I14" s="153">
        <f>'Maagaasi põletusseadmed'!K21</f>
        <v>1.6431200000000001E-6</v>
      </c>
      <c r="J14" s="154">
        <f>ROUND('Maagaasi põletusseadmed'!L21,3)</f>
        <v>0</v>
      </c>
      <c r="K14" s="154">
        <f t="shared" si="0"/>
        <v>0.14119999999999999</v>
      </c>
      <c r="L14" s="203">
        <f t="shared" si="1"/>
        <v>2.4609999999999999</v>
      </c>
    </row>
    <row r="15" spans="1:18" s="157" customFormat="1">
      <c r="A15" s="89" t="s">
        <v>42</v>
      </c>
      <c r="B15" s="90" t="s">
        <v>4</v>
      </c>
      <c r="C15" s="153">
        <f>ROUND('HA-10 püüdeseadmetega'!L22,4)</f>
        <v>0.14119999999999999</v>
      </c>
      <c r="D15" s="154">
        <f>'HA-10 püüdeseadmetega'!M22</f>
        <v>2.4607700000000001</v>
      </c>
      <c r="E15" s="153">
        <f>ROUND('Maagaasi põletusseadmed'!C22,4)</f>
        <v>0</v>
      </c>
      <c r="F15" s="154">
        <f>ROUND('Maagaasi põletusseadmed'!D22,3)</f>
        <v>0</v>
      </c>
      <c r="G15" s="153">
        <f>'Maagaasi põletusseadmed'!G22</f>
        <v>3.0064499999999998E-6</v>
      </c>
      <c r="H15" s="154">
        <f>ROUND('Maagaasi põletusseadmed'!H22,3)</f>
        <v>0</v>
      </c>
      <c r="I15" s="153">
        <f>'Maagaasi põletusseadmed'!K22</f>
        <v>1.1026200000000002E-6</v>
      </c>
      <c r="J15" s="154">
        <f>ROUND('Maagaasi põletusseadmed'!L22,3)</f>
        <v>0</v>
      </c>
      <c r="K15" s="154">
        <f t="shared" si="0"/>
        <v>0.14119999999999999</v>
      </c>
      <c r="L15" s="203">
        <f t="shared" si="1"/>
        <v>2.4609999999999999</v>
      </c>
    </row>
    <row r="16" spans="1:18" s="157" customFormat="1">
      <c r="A16" s="89" t="s">
        <v>43</v>
      </c>
      <c r="B16" s="90" t="s">
        <v>44</v>
      </c>
      <c r="C16" s="153">
        <f>ROUND('HA-10 püüdeseadmetega'!L24,4)</f>
        <v>3.6141999999999999</v>
      </c>
      <c r="D16" s="154">
        <f>'HA-10 püüdeseadmetega'!M24</f>
        <v>62.995711999999997</v>
      </c>
      <c r="E16" s="153">
        <f>ROUND('Maagaasi põletusseadmed'!C24,4)</f>
        <v>1E-4</v>
      </c>
      <c r="F16" s="154">
        <v>0</v>
      </c>
      <c r="G16" s="153">
        <f>'Maagaasi põletusseadmed'!G24</f>
        <v>8.8424999999999994E-5</v>
      </c>
      <c r="H16" s="154">
        <v>0</v>
      </c>
      <c r="I16" s="153">
        <f>'Maagaasi põletusseadmed'!K24</f>
        <v>3.243E-5</v>
      </c>
      <c r="J16" s="154">
        <v>0</v>
      </c>
      <c r="K16" s="154">
        <f t="shared" si="0"/>
        <v>3.6143000000000001</v>
      </c>
      <c r="L16" s="203">
        <f t="shared" si="1"/>
        <v>62.996000000000002</v>
      </c>
    </row>
    <row r="17" spans="1:12" s="157" customFormat="1">
      <c r="A17" s="92" t="s">
        <v>97</v>
      </c>
      <c r="B17" s="93" t="s">
        <v>98</v>
      </c>
      <c r="C17" s="153">
        <f>ROUND('HA-10 püüdeseadmetega'!L25,4)</f>
        <v>0.26119999999999999</v>
      </c>
      <c r="D17" s="154">
        <f>'HA-10 püüdeseadmetega'!M25</f>
        <v>4.5524244999999999</v>
      </c>
      <c r="E17" s="153">
        <f>ROUND('Maagaasi põletusseadmed'!C25,4)</f>
        <v>0</v>
      </c>
      <c r="F17" s="154">
        <f>ROUND('Maagaasi põletusseadmed'!D25,3)</f>
        <v>0</v>
      </c>
      <c r="G17" s="153">
        <f>'Maagaasi põletusseadmed'!G25</f>
        <v>0</v>
      </c>
      <c r="H17" s="154">
        <f>ROUND('Maagaasi põletusseadmed'!H25,3)</f>
        <v>0</v>
      </c>
      <c r="I17" s="153">
        <f>'Maagaasi põletusseadmed'!K25</f>
        <v>0</v>
      </c>
      <c r="J17" s="154">
        <f>ROUND('Maagaasi põletusseadmed'!L25,3)</f>
        <v>0</v>
      </c>
      <c r="K17" s="154">
        <f t="shared" si="0"/>
        <v>0.26119999999999999</v>
      </c>
      <c r="L17" s="203">
        <f t="shared" si="1"/>
        <v>4.5519999999999996</v>
      </c>
    </row>
    <row r="18" spans="1:12">
      <c r="A18" s="94" t="s">
        <v>71</v>
      </c>
      <c r="B18" s="94" t="s">
        <v>72</v>
      </c>
      <c r="C18" s="153"/>
      <c r="D18" s="154">
        <f>'HA-10 püüdeseadmetega'!M31</f>
        <v>13479.310613600001</v>
      </c>
      <c r="E18" s="154"/>
      <c r="F18" s="154"/>
      <c r="G18" s="154"/>
      <c r="H18" s="154"/>
      <c r="I18" s="154"/>
      <c r="J18" s="154"/>
      <c r="K18" s="150"/>
      <c r="L18" s="203">
        <f t="shared" si="1"/>
        <v>13479.311</v>
      </c>
    </row>
    <row r="19" spans="1:12">
      <c r="A19" s="94" t="s">
        <v>52</v>
      </c>
      <c r="B19" s="94" t="s">
        <v>110</v>
      </c>
      <c r="C19" s="153"/>
      <c r="D19" s="154">
        <f>ROUND('HA-10 püüdeseadmetega'!M32,3)</f>
        <v>11891.137000000001</v>
      </c>
      <c r="E19" s="154"/>
      <c r="F19" s="154">
        <f>ROUND('Maagaasi põletusseadmed'!D32,3)</f>
        <v>2668.4180000000001</v>
      </c>
      <c r="G19" s="154"/>
      <c r="H19" s="154">
        <f>ROUND('Maagaasi põletusseadmed'!H32,3)</f>
        <v>4002.627</v>
      </c>
      <c r="I19" s="154"/>
      <c r="J19" s="154">
        <f>ROUND('Maagaasi põletusseadmed'!L32,3)</f>
        <v>2859.0189999999998</v>
      </c>
      <c r="K19" s="149"/>
      <c r="L19" s="203">
        <f t="shared" ref="L19" si="2">D19+H19+J19+F19</f>
        <v>21421.201000000001</v>
      </c>
    </row>
    <row r="20" spans="1:12">
      <c r="G20" s="157"/>
      <c r="H20" s="157"/>
    </row>
  </sheetData>
  <mergeCells count="4">
    <mergeCell ref="C1:D1"/>
    <mergeCell ref="E1:F1"/>
    <mergeCell ref="G1:H1"/>
    <mergeCell ref="I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H32" sqref="H32"/>
    </sheetView>
  </sheetViews>
  <sheetFormatPr defaultRowHeight="14.4"/>
  <cols>
    <col min="1" max="1" width="8.88671875" style="38"/>
    <col min="2" max="2" width="14.44140625" style="38" customWidth="1"/>
    <col min="3" max="3" width="15.88671875" style="38" customWidth="1"/>
    <col min="4" max="4" width="27.88671875" style="38" customWidth="1"/>
    <col min="5" max="9" width="8.88671875" style="38"/>
    <col min="10" max="10" width="19.77734375" style="38" customWidth="1"/>
    <col min="11" max="16384" width="8.88671875" style="38"/>
  </cols>
  <sheetData>
    <row r="1" spans="1:14">
      <c r="B1" s="7"/>
    </row>
    <row r="2" spans="1:14">
      <c r="B2" s="7"/>
      <c r="K2" s="294" t="s">
        <v>155</v>
      </c>
      <c r="L2" s="295"/>
      <c r="M2" s="295"/>
      <c r="N2" s="295"/>
    </row>
    <row r="3" spans="1:14">
      <c r="A3" s="60"/>
      <c r="B3" s="252"/>
      <c r="C3" s="60"/>
      <c r="D3" s="60"/>
      <c r="E3" s="60"/>
      <c r="F3" s="60"/>
      <c r="G3" s="60"/>
      <c r="H3" s="60"/>
      <c r="I3" s="60"/>
      <c r="J3" s="60"/>
      <c r="K3" s="60" t="s">
        <v>120</v>
      </c>
      <c r="L3" s="60" t="s">
        <v>121</v>
      </c>
      <c r="M3" s="60" t="s">
        <v>122</v>
      </c>
      <c r="N3" s="60" t="s">
        <v>127</v>
      </c>
    </row>
    <row r="4" spans="1:14">
      <c r="A4" s="108" t="s">
        <v>148</v>
      </c>
      <c r="B4" s="253" t="s">
        <v>111</v>
      </c>
      <c r="C4" s="98" t="s">
        <v>118</v>
      </c>
      <c r="D4" s="98" t="s">
        <v>123</v>
      </c>
      <c r="E4" s="99">
        <v>0.05</v>
      </c>
      <c r="F4" s="99">
        <v>4</v>
      </c>
      <c r="G4" s="99">
        <v>8.5</v>
      </c>
      <c r="H4" s="99">
        <v>10</v>
      </c>
      <c r="I4" s="60"/>
      <c r="J4" s="100" t="s">
        <v>119</v>
      </c>
      <c r="K4" s="60"/>
      <c r="L4" s="60"/>
      <c r="M4" s="60"/>
      <c r="N4" s="60"/>
    </row>
    <row r="5" spans="1:14">
      <c r="A5" s="108" t="s">
        <v>149</v>
      </c>
      <c r="B5" s="254" t="s">
        <v>112</v>
      </c>
      <c r="C5" s="98" t="s">
        <v>118</v>
      </c>
      <c r="D5" s="98" t="s">
        <v>124</v>
      </c>
      <c r="E5" s="99">
        <v>0.05</v>
      </c>
      <c r="F5" s="99">
        <v>6</v>
      </c>
      <c r="G5" s="99">
        <v>8.5</v>
      </c>
      <c r="H5" s="99">
        <v>10</v>
      </c>
      <c r="I5" s="60"/>
      <c r="J5" s="100" t="s">
        <v>119</v>
      </c>
      <c r="K5" s="60"/>
      <c r="L5" s="60"/>
      <c r="M5" s="128">
        <v>1.2170000000000001</v>
      </c>
      <c r="N5" s="60"/>
    </row>
    <row r="6" spans="1:14">
      <c r="A6" s="108" t="s">
        <v>150</v>
      </c>
      <c r="B6" s="254" t="s">
        <v>113</v>
      </c>
      <c r="C6" s="98" t="s">
        <v>117</v>
      </c>
      <c r="D6" s="98" t="s">
        <v>125</v>
      </c>
      <c r="E6" s="99">
        <v>0.4</v>
      </c>
      <c r="F6" s="99">
        <v>7</v>
      </c>
      <c r="G6" s="99">
        <v>0.1</v>
      </c>
      <c r="H6" s="99">
        <v>130</v>
      </c>
      <c r="I6" s="60"/>
      <c r="J6" s="100" t="s">
        <v>126</v>
      </c>
      <c r="K6" s="156">
        <v>4.2999999999999997E-2</v>
      </c>
      <c r="L6" s="156">
        <v>2.5000000000000001E-2</v>
      </c>
      <c r="M6" s="156">
        <v>1E-3</v>
      </c>
      <c r="N6" s="128">
        <v>2.9999999999999997E-4</v>
      </c>
    </row>
    <row r="7" spans="1:14">
      <c r="A7" s="108" t="s">
        <v>151</v>
      </c>
      <c r="B7" s="253" t="s">
        <v>114</v>
      </c>
      <c r="C7" s="98" t="s">
        <v>117</v>
      </c>
      <c r="D7" s="98" t="s">
        <v>129</v>
      </c>
      <c r="E7" s="99">
        <v>0.3</v>
      </c>
      <c r="F7" s="99">
        <v>7</v>
      </c>
      <c r="G7" s="99">
        <v>1.83</v>
      </c>
      <c r="H7" s="99">
        <v>130</v>
      </c>
      <c r="I7" s="60"/>
      <c r="J7" s="100" t="s">
        <v>128</v>
      </c>
      <c r="K7" s="128">
        <v>0.03</v>
      </c>
      <c r="L7" s="128">
        <v>0.03</v>
      </c>
      <c r="M7" s="128">
        <v>5.0000000000000001E-4</v>
      </c>
      <c r="N7" s="128">
        <v>1E-4</v>
      </c>
    </row>
    <row r="8" spans="1:14">
      <c r="A8" s="108" t="s">
        <v>152</v>
      </c>
      <c r="B8" s="254" t="s">
        <v>115</v>
      </c>
      <c r="C8" s="98" t="s">
        <v>117</v>
      </c>
      <c r="D8" s="98" t="s">
        <v>130</v>
      </c>
      <c r="E8" s="99">
        <v>0.4</v>
      </c>
      <c r="F8" s="99">
        <v>5</v>
      </c>
      <c r="G8" s="99">
        <v>17.690000000000001</v>
      </c>
      <c r="H8" s="99">
        <v>20</v>
      </c>
      <c r="I8" s="60"/>
      <c r="J8" s="100" t="s">
        <v>131</v>
      </c>
      <c r="K8" s="128"/>
      <c r="L8" s="128"/>
      <c r="M8" s="128">
        <v>0.64500000000000002</v>
      </c>
      <c r="N8" s="128"/>
    </row>
    <row r="9" spans="1:14">
      <c r="A9" s="108" t="s">
        <v>153</v>
      </c>
      <c r="B9" s="254" t="s">
        <v>116</v>
      </c>
      <c r="C9" s="98" t="s">
        <v>117</v>
      </c>
      <c r="D9" s="98" t="s">
        <v>132</v>
      </c>
      <c r="E9" s="99">
        <v>0.76</v>
      </c>
      <c r="F9" s="99">
        <v>5</v>
      </c>
      <c r="G9" s="99">
        <v>21.34</v>
      </c>
      <c r="H9" s="99">
        <v>2</v>
      </c>
      <c r="I9" s="60"/>
      <c r="J9" s="100" t="s">
        <v>133</v>
      </c>
      <c r="K9" s="128"/>
      <c r="L9" s="128"/>
      <c r="M9" s="128">
        <v>1.0049999999999999</v>
      </c>
      <c r="N9" s="128"/>
    </row>
    <row r="10" spans="1:14">
      <c r="B10" s="7"/>
      <c r="J10" s="155" t="s">
        <v>154</v>
      </c>
      <c r="K10" s="61">
        <f>Koond!K3</f>
        <v>1.2196</v>
      </c>
      <c r="L10" s="61">
        <f>Koond!K4</f>
        <v>10.1357</v>
      </c>
      <c r="M10" s="61">
        <f>Koond!K5</f>
        <v>5.5300000000000002E-2</v>
      </c>
      <c r="N10" s="61">
        <f>Koond!K6</f>
        <v>2.5880999999999998</v>
      </c>
    </row>
    <row r="11" spans="1:14">
      <c r="B11" s="7"/>
      <c r="J11" s="155" t="s">
        <v>137</v>
      </c>
      <c r="K11" s="255">
        <f>SUM(K4:K10)</f>
        <v>1.2926</v>
      </c>
      <c r="L11" s="255">
        <f t="shared" ref="L11:N11" si="0">SUM(L4:L10)</f>
        <v>10.1907</v>
      </c>
      <c r="M11" s="255">
        <f t="shared" si="0"/>
        <v>2.9238</v>
      </c>
      <c r="N11" s="255">
        <f t="shared" si="0"/>
        <v>2.5884999999999998</v>
      </c>
    </row>
    <row r="12" spans="1:14">
      <c r="B12" s="7"/>
    </row>
    <row r="13" spans="1:14">
      <c r="B13" s="7"/>
    </row>
    <row r="14" spans="1:14">
      <c r="B14" s="7"/>
    </row>
  </sheetData>
  <mergeCells count="1">
    <mergeCell ref="K2:N2"/>
  </mergeCells>
  <hyperlinks>
    <hyperlink ref="B4" r:id="rId1" display="https://kotkas.envir.ee/registry_emission_source/emission_source_view?registry_code=HEIT0005340"/>
    <hyperlink ref="B5" r:id="rId2" display="https://kotkas.envir.ee/registry_emission_source/emission_source_view?registry_code=HEIT0005339"/>
    <hyperlink ref="B6" r:id="rId3" display="https://kotkas.envir.ee/registry_emission_source/emission_source_view?registry_code=HEIT0005115"/>
    <hyperlink ref="B7" r:id="rId4" display="https://kotkas.envir.ee/registry_emission_source/emission_source_view?registry_code=HEIT0005116"/>
    <hyperlink ref="B8" r:id="rId5" display="https://kotkas.envir.ee/registry_emission_source/emission_source_view?registry_code=HEIT0005117"/>
    <hyperlink ref="B9" r:id="rId6" display="https://kotkas.envir.ee/registry_emission_source/emission_source_view?registry_code=HEIT0005118"/>
  </hyperlinks>
  <pageMargins left="0.7" right="0.7" top="0.75" bottom="0.75" header="0.3" footer="0.3"/>
  <pageSetup paperSize="285" orientation="portrait" horizontalDpi="0" verticalDpi="0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workbookViewId="0">
      <selection activeCell="C44" sqref="C44"/>
    </sheetView>
  </sheetViews>
  <sheetFormatPr defaultRowHeight="14.4"/>
  <cols>
    <col min="1" max="1" width="16.77734375" customWidth="1"/>
    <col min="2" max="2" width="24.5546875" customWidth="1"/>
    <col min="3" max="3" width="14.5546875" customWidth="1"/>
    <col min="4" max="4" width="20.44140625" customWidth="1"/>
    <col min="5" max="5" width="18.77734375" customWidth="1"/>
    <col min="6" max="6" width="20.6640625" customWidth="1"/>
    <col min="7" max="7" width="15.88671875" customWidth="1"/>
    <col min="9" max="9" width="8.88671875" customWidth="1"/>
    <col min="10" max="10" width="20.6640625" customWidth="1"/>
    <col min="11" max="12" width="16.33203125" customWidth="1"/>
  </cols>
  <sheetData>
    <row r="1" spans="1:12">
      <c r="A1" t="s">
        <v>179</v>
      </c>
    </row>
    <row r="2" spans="1:12">
      <c r="A2" s="202"/>
      <c r="B2" s="202"/>
      <c r="C2" s="202"/>
    </row>
    <row r="3" spans="1:12">
      <c r="A3" t="s">
        <v>180</v>
      </c>
      <c r="B3" s="1"/>
      <c r="C3" s="1"/>
    </row>
    <row r="4" spans="1:12">
      <c r="A4" t="s">
        <v>181</v>
      </c>
      <c r="J4" s="215"/>
    </row>
    <row r="5" spans="1:12">
      <c r="J5" s="215"/>
    </row>
    <row r="6" spans="1:12">
      <c r="A6" t="s">
        <v>194</v>
      </c>
    </row>
    <row r="7" spans="1:12">
      <c r="A7" s="214" t="s">
        <v>195</v>
      </c>
      <c r="B7" s="213"/>
      <c r="C7" s="218">
        <v>56.3</v>
      </c>
      <c r="D7" s="108" t="s">
        <v>193</v>
      </c>
    </row>
    <row r="9" spans="1:12">
      <c r="E9" t="s">
        <v>191</v>
      </c>
      <c r="J9" t="s">
        <v>192</v>
      </c>
    </row>
    <row r="10" spans="1:12">
      <c r="A10" s="175" t="s">
        <v>104</v>
      </c>
      <c r="B10" s="158"/>
      <c r="C10" s="158"/>
      <c r="E10" s="175" t="s">
        <v>103</v>
      </c>
      <c r="F10" s="158"/>
      <c r="G10" s="158"/>
      <c r="J10" s="175" t="s">
        <v>103</v>
      </c>
      <c r="K10" s="158"/>
      <c r="L10" s="158"/>
    </row>
    <row r="11" spans="1:12">
      <c r="A11" s="158" t="s">
        <v>182</v>
      </c>
      <c r="B11" s="150">
        <f>'Maagaasi põletusseadmed'!C8</f>
        <v>0.37133279999999996</v>
      </c>
      <c r="C11" s="169" t="s">
        <v>155</v>
      </c>
      <c r="E11" s="219" t="s">
        <v>182</v>
      </c>
      <c r="F11" s="150">
        <f>'HA-10 püüdeseadmetega'!I8</f>
        <v>0.84833533933885452</v>
      </c>
      <c r="G11" s="169" t="s">
        <v>155</v>
      </c>
      <c r="J11" s="219" t="s">
        <v>182</v>
      </c>
      <c r="K11" s="150">
        <f>'HA-10 püüdeseadmetega'!E8</f>
        <v>0.63398726427458885</v>
      </c>
      <c r="L11" s="204" t="s">
        <v>155</v>
      </c>
    </row>
    <row r="12" spans="1:12">
      <c r="A12" s="158" t="s">
        <v>183</v>
      </c>
      <c r="B12" s="150">
        <f>Kiirused!E17</f>
        <v>4.1095463809933079</v>
      </c>
      <c r="C12" s="169" t="s">
        <v>184</v>
      </c>
      <c r="E12" s="158" t="s">
        <v>183</v>
      </c>
      <c r="F12" s="150">
        <f>Kiirused!E7</f>
        <v>2.9740920421860024</v>
      </c>
      <c r="G12" s="169" t="s">
        <v>184</v>
      </c>
      <c r="J12" s="158" t="s">
        <v>183</v>
      </c>
      <c r="K12" s="150">
        <f>F12</f>
        <v>2.9740920421860024</v>
      </c>
      <c r="L12" s="204" t="s">
        <v>184</v>
      </c>
    </row>
    <row r="13" spans="1:12">
      <c r="A13" s="158" t="s">
        <v>185</v>
      </c>
      <c r="B13" s="158">
        <f>Algandmed!G4+B14</f>
        <v>443</v>
      </c>
      <c r="C13" s="207" t="s">
        <v>186</v>
      </c>
      <c r="E13" s="158" t="s">
        <v>185</v>
      </c>
      <c r="F13" s="158">
        <f>C7+F14</f>
        <v>329.3</v>
      </c>
      <c r="G13" s="207" t="s">
        <v>186</v>
      </c>
      <c r="J13" s="158" t="s">
        <v>185</v>
      </c>
      <c r="K13" s="216">
        <f>C7+K14</f>
        <v>329.3</v>
      </c>
      <c r="L13" s="207" t="s">
        <v>186</v>
      </c>
    </row>
    <row r="14" spans="1:12">
      <c r="A14" s="158"/>
      <c r="B14" s="158">
        <v>273</v>
      </c>
      <c r="C14" s="169" t="s">
        <v>186</v>
      </c>
      <c r="E14" s="158"/>
      <c r="F14" s="158">
        <v>273</v>
      </c>
      <c r="G14" s="169" t="s">
        <v>186</v>
      </c>
      <c r="J14" s="158"/>
      <c r="K14" s="158">
        <v>273</v>
      </c>
      <c r="L14" s="204" t="s">
        <v>186</v>
      </c>
    </row>
    <row r="15" spans="1:12">
      <c r="A15" s="158" t="s">
        <v>187</v>
      </c>
      <c r="B15" s="150">
        <f>B12*B14/B13</f>
        <v>2.5325195530726257</v>
      </c>
      <c r="C15" s="169" t="s">
        <v>188</v>
      </c>
      <c r="E15" s="158" t="s">
        <v>187</v>
      </c>
      <c r="F15" s="150">
        <v>2.62</v>
      </c>
      <c r="G15" s="169" t="s">
        <v>188</v>
      </c>
      <c r="J15" s="158" t="s">
        <v>187</v>
      </c>
      <c r="K15" s="150">
        <v>2.62</v>
      </c>
      <c r="L15" s="204" t="s">
        <v>188</v>
      </c>
    </row>
    <row r="16" spans="1:12">
      <c r="A16" s="158" t="s">
        <v>189</v>
      </c>
      <c r="B16" s="203">
        <f>B11/B15*1000</f>
        <v>146.62583732057416</v>
      </c>
      <c r="C16" s="169" t="s">
        <v>190</v>
      </c>
      <c r="E16" s="158" t="s">
        <v>189</v>
      </c>
      <c r="F16" s="203">
        <f>F11/F15*1000</f>
        <v>323.79211425147122</v>
      </c>
      <c r="G16" s="169" t="s">
        <v>190</v>
      </c>
      <c r="J16" s="158" t="s">
        <v>189</v>
      </c>
      <c r="K16" s="203">
        <f>K11/K15*1000</f>
        <v>241.97987186053007</v>
      </c>
      <c r="L16" s="204" t="s">
        <v>190</v>
      </c>
    </row>
    <row r="17" spans="1:12">
      <c r="A17" s="175" t="s">
        <v>105</v>
      </c>
      <c r="B17" s="158"/>
      <c r="C17" s="158"/>
      <c r="E17" s="158"/>
      <c r="F17" s="158"/>
      <c r="G17" s="158"/>
      <c r="J17" s="158"/>
      <c r="K17" s="158"/>
      <c r="L17" s="158"/>
    </row>
    <row r="18" spans="1:12">
      <c r="A18" s="158" t="s">
        <v>182</v>
      </c>
      <c r="B18" s="150">
        <f>'Maagaasi põletusseadmed'!G8</f>
        <v>0.25230599999999997</v>
      </c>
      <c r="C18" s="169" t="s">
        <v>155</v>
      </c>
      <c r="E18" s="175" t="s">
        <v>23</v>
      </c>
      <c r="F18" s="150">
        <f>'HA-10 püüdeseadmetega'!I12</f>
        <v>3.5734341610911054E-2</v>
      </c>
      <c r="G18" s="169" t="s">
        <v>155</v>
      </c>
      <c r="J18" s="175" t="s">
        <v>23</v>
      </c>
      <c r="K18" s="150">
        <f>'HA-10 püüdeseadmetega'!E12</f>
        <v>1.8309114959654073E-2</v>
      </c>
      <c r="L18" s="204" t="s">
        <v>155</v>
      </c>
    </row>
    <row r="19" spans="1:12">
      <c r="A19" s="158" t="s">
        <v>183</v>
      </c>
      <c r="B19" s="150">
        <f>Kiirused!E29</f>
        <v>2.7922747713180671</v>
      </c>
      <c r="C19" s="169" t="s">
        <v>184</v>
      </c>
      <c r="E19" s="158" t="s">
        <v>183</v>
      </c>
      <c r="F19" s="150">
        <f>Kiirused!E7</f>
        <v>2.9740920421860024</v>
      </c>
      <c r="G19" s="169" t="s">
        <v>184</v>
      </c>
      <c r="J19" s="158" t="s">
        <v>183</v>
      </c>
      <c r="K19" s="150">
        <f>F19</f>
        <v>2.9740920421860024</v>
      </c>
      <c r="L19" s="204" t="s">
        <v>184</v>
      </c>
    </row>
    <row r="20" spans="1:12">
      <c r="A20" s="158" t="s">
        <v>185</v>
      </c>
      <c r="B20" s="158">
        <f>Algandmed!G5+B21</f>
        <v>443</v>
      </c>
      <c r="C20" s="207" t="s">
        <v>186</v>
      </c>
      <c r="E20" s="158" t="s">
        <v>185</v>
      </c>
      <c r="F20" s="158">
        <f>C7+F21</f>
        <v>329.3</v>
      </c>
      <c r="G20" s="207" t="s">
        <v>186</v>
      </c>
      <c r="J20" s="158" t="s">
        <v>185</v>
      </c>
      <c r="K20" s="158">
        <f>C7+K21</f>
        <v>329.3</v>
      </c>
      <c r="L20" s="207" t="s">
        <v>186</v>
      </c>
    </row>
    <row r="21" spans="1:12">
      <c r="A21" s="158"/>
      <c r="B21" s="158">
        <v>273</v>
      </c>
      <c r="C21" s="169" t="s">
        <v>186</v>
      </c>
      <c r="E21" s="158"/>
      <c r="F21" s="158">
        <v>273</v>
      </c>
      <c r="G21" s="169" t="s">
        <v>186</v>
      </c>
      <c r="J21" s="158"/>
      <c r="K21" s="158">
        <v>273</v>
      </c>
      <c r="L21" s="204" t="s">
        <v>186</v>
      </c>
    </row>
    <row r="22" spans="1:12">
      <c r="A22" s="158" t="s">
        <v>187</v>
      </c>
      <c r="B22" s="150">
        <f>B19*B21/B20</f>
        <v>1.7207472067039105</v>
      </c>
      <c r="C22" s="169" t="s">
        <v>188</v>
      </c>
      <c r="E22" s="158" t="s">
        <v>187</v>
      </c>
      <c r="F22" s="150">
        <v>2.62</v>
      </c>
      <c r="G22" s="169" t="s">
        <v>188</v>
      </c>
      <c r="J22" s="158" t="s">
        <v>187</v>
      </c>
      <c r="K22" s="150">
        <v>2.62</v>
      </c>
      <c r="L22" s="204" t="s">
        <v>188</v>
      </c>
    </row>
    <row r="23" spans="1:12">
      <c r="A23" s="158" t="s">
        <v>189</v>
      </c>
      <c r="B23" s="203">
        <f>B18/B22*1000</f>
        <v>146.62583732057416</v>
      </c>
      <c r="C23" s="169" t="s">
        <v>190</v>
      </c>
      <c r="E23" s="158" t="s">
        <v>189</v>
      </c>
      <c r="F23" s="203">
        <f>F18/F22*1000</f>
        <v>13.639061683553836</v>
      </c>
      <c r="G23" s="169" t="s">
        <v>190</v>
      </c>
      <c r="J23" s="158" t="s">
        <v>189</v>
      </c>
      <c r="K23" s="203">
        <f>K18/K22*1000</f>
        <v>6.9882118166618596</v>
      </c>
      <c r="L23" s="204" t="s">
        <v>190</v>
      </c>
    </row>
    <row r="24" spans="1:12">
      <c r="A24" s="175" t="s">
        <v>106</v>
      </c>
      <c r="B24" s="158"/>
      <c r="C24" s="158"/>
      <c r="E24" s="158"/>
      <c r="F24" s="158"/>
      <c r="G24" s="158"/>
      <c r="J24" s="31"/>
      <c r="K24" s="31"/>
      <c r="L24" s="31"/>
    </row>
    <row r="25" spans="1:12">
      <c r="A25" s="158" t="s">
        <v>182</v>
      </c>
      <c r="B25" s="150">
        <f>'Maagaasi põletusseadmed'!K8</f>
        <v>9.2533599999999994E-2</v>
      </c>
      <c r="C25" s="169" t="s">
        <v>155</v>
      </c>
      <c r="E25" s="175" t="s">
        <v>0</v>
      </c>
      <c r="F25" s="150">
        <f>'HA-10 püüdeseadmetega'!I11</f>
        <v>2.5836862745098035</v>
      </c>
      <c r="G25" s="169" t="s">
        <v>155</v>
      </c>
      <c r="J25" s="208"/>
      <c r="K25" s="209"/>
      <c r="L25" s="210"/>
    </row>
    <row r="26" spans="1:12">
      <c r="A26" s="158" t="s">
        <v>183</v>
      </c>
      <c r="B26" s="150">
        <f>Kiirused!E40</f>
        <v>1.0240709169787383</v>
      </c>
      <c r="C26" s="169" t="s">
        <v>184</v>
      </c>
      <c r="E26" s="158" t="s">
        <v>183</v>
      </c>
      <c r="F26" s="150">
        <f>Kiirused!E7</f>
        <v>2.9740920421860024</v>
      </c>
      <c r="G26" s="169" t="s">
        <v>184</v>
      </c>
      <c r="J26" s="208"/>
      <c r="K26" s="209"/>
      <c r="L26" s="210"/>
    </row>
    <row r="27" spans="1:12">
      <c r="A27" s="158" t="s">
        <v>185</v>
      </c>
      <c r="B27" s="158">
        <f>Algandmed!G6+B28</f>
        <v>443</v>
      </c>
      <c r="C27" s="207" t="s">
        <v>186</v>
      </c>
      <c r="E27" s="158" t="s">
        <v>185</v>
      </c>
      <c r="F27" s="158">
        <f>C7+F28</f>
        <v>329.3</v>
      </c>
      <c r="G27" s="207" t="s">
        <v>186</v>
      </c>
      <c r="J27" s="208"/>
      <c r="K27" s="208"/>
      <c r="L27" s="211"/>
    </row>
    <row r="28" spans="1:12">
      <c r="A28" s="158"/>
      <c r="B28" s="158">
        <v>273</v>
      </c>
      <c r="C28" s="169" t="s">
        <v>186</v>
      </c>
      <c r="E28" s="158"/>
      <c r="F28" s="158">
        <v>273</v>
      </c>
      <c r="G28" s="169" t="s">
        <v>186</v>
      </c>
      <c r="J28" s="208"/>
      <c r="K28" s="208"/>
      <c r="L28" s="210"/>
    </row>
    <row r="29" spans="1:12">
      <c r="A29" s="158" t="s">
        <v>187</v>
      </c>
      <c r="B29" s="150">
        <f>B26*B28/B27</f>
        <v>0.63108659217877094</v>
      </c>
      <c r="C29" s="169" t="s">
        <v>188</v>
      </c>
      <c r="E29" s="158" t="s">
        <v>187</v>
      </c>
      <c r="F29" s="150">
        <v>2.62</v>
      </c>
      <c r="G29" s="169" t="s">
        <v>188</v>
      </c>
      <c r="J29" s="208"/>
      <c r="K29" s="209"/>
      <c r="L29" s="210"/>
    </row>
    <row r="30" spans="1:12">
      <c r="A30" s="158" t="s">
        <v>189</v>
      </c>
      <c r="B30" s="203">
        <f>B25/B29*1000</f>
        <v>146.62583732057416</v>
      </c>
      <c r="C30" s="169" t="s">
        <v>190</v>
      </c>
      <c r="E30" s="158" t="s">
        <v>189</v>
      </c>
      <c r="F30" s="203">
        <f>F25/F29*1000</f>
        <v>986.13979943122263</v>
      </c>
      <c r="G30" s="169" t="s">
        <v>190</v>
      </c>
      <c r="J30" s="208"/>
      <c r="K30" s="209"/>
      <c r="L30" s="2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5DEA978C66DC43817353BD6BE67837" ma:contentTypeVersion="10" ma:contentTypeDescription="Loo uus dokument" ma:contentTypeScope="" ma:versionID="dbd5c07bf1312996408c259f8710943f">
  <xsd:schema xmlns:xsd="http://www.w3.org/2001/XMLSchema" xmlns:xs="http://www.w3.org/2001/XMLSchema" xmlns:p="http://schemas.microsoft.com/office/2006/metadata/properties" xmlns:ns3="682ff7fe-6a00-403c-8f4d-a5d6454355cd" xmlns:ns4="eeebbe20-8dbf-4d82-8f3e-aa2abaa7850d" targetNamespace="http://schemas.microsoft.com/office/2006/metadata/properties" ma:root="true" ma:fieldsID="3abc575700bc01c3b0395bbf1d01b3e2" ns3:_="" ns4:_="">
    <xsd:import namespace="682ff7fe-6a00-403c-8f4d-a5d6454355cd"/>
    <xsd:import namespace="eeebbe20-8dbf-4d82-8f3e-aa2abaa785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ff7fe-6a00-403c-8f4d-a5d6454355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bbe20-8dbf-4d82-8f3e-aa2abaa78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F8C14-9F84-44ED-AFDF-4CB61F57D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2ff7fe-6a00-403c-8f4d-a5d6454355cd"/>
    <ds:schemaRef ds:uri="eeebbe20-8dbf-4d82-8f3e-aa2abaa785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A0E8B-168B-4D51-9A50-9C0AC18590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8B4BA3-2E81-41B0-9C1E-35EAD0200F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1</vt:i4>
      </vt:variant>
    </vt:vector>
  </HeadingPairs>
  <TitlesOfParts>
    <vt:vector size="9" baseType="lpstr">
      <vt:lpstr>Algandmed</vt:lpstr>
      <vt:lpstr>Maagaasi põletusseadmed</vt:lpstr>
      <vt:lpstr>HA-10 püüdeseadmetega</vt:lpstr>
      <vt:lpstr>Eriheitmete arvutus</vt:lpstr>
      <vt:lpstr>Kiirused</vt:lpstr>
      <vt:lpstr>Koond</vt:lpstr>
      <vt:lpstr>Naabrid</vt:lpstr>
      <vt:lpstr>Piirvääruse arvutus</vt:lpstr>
      <vt:lpstr>'Eriheitmete arvutus'!para3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Ain</cp:lastModifiedBy>
  <cp:revision/>
  <dcterms:created xsi:type="dcterms:W3CDTF">2020-07-19T17:21:55Z</dcterms:created>
  <dcterms:modified xsi:type="dcterms:W3CDTF">2022-01-16T19:34:23Z</dcterms:modified>
  <dc:identifier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0x010100E45DEA978C66DC43817353BD6BE67837</vt:lpwstr>
  </property>
</Properties>
</file>