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30660" windowHeight="13776" firstSheet="1" activeTab="11"/>
  </bookViews>
  <sheets>
    <sheet name="Deklaratsioon" sheetId="17" state="hidden" r:id="rId1"/>
    <sheet name="Kogused" sheetId="1" r:id="rId2"/>
    <sheet name="LOÜ" sheetId="4" r:id="rId3"/>
    <sheet name="Lahustid" sheetId="5" r:id="rId4"/>
    <sheet name="K1 Põletusseade " sheetId="7" r:id="rId5"/>
    <sheet name="Piirvääruse arvutus" sheetId="10" r:id="rId6"/>
    <sheet name="Kiirused" sheetId="8" r:id="rId7"/>
    <sheet name="Puidu tolm" sheetId="6" r:id="rId8"/>
    <sheet name="Parafiini laadimine mahutitesse" sheetId="15" r:id="rId9"/>
    <sheet name="Parafiini hoiustamine" sheetId="16" r:id="rId10"/>
    <sheet name="Naabrid" sheetId="13" r:id="rId11"/>
    <sheet name="Koond" sheetId="14" r:id="rId12"/>
    <sheet name="Sheet1" sheetId="9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3" hidden="1">Lahustid!$A$4:$S$6</definedName>
    <definedName name="_xlnm._FilterDatabase" localSheetId="2" hidden="1">LOÜ!$A$2:$N$11</definedName>
    <definedName name="_ftnref1" localSheetId="7">'Puidu tolm'!$A$24</definedName>
    <definedName name="KL_OVVSLTHA_T_1" localSheetId="11">Koond!#REF!</definedName>
    <definedName name="KL_OVVSLTHA_T_10" localSheetId="11">Koond!#REF!</definedName>
    <definedName name="KL_OVVSLTHA_T_11" localSheetId="11">Koond!#REF!</definedName>
    <definedName name="KL_OVVSLTHA_T_12" localSheetId="11">Koond!#REF!</definedName>
    <definedName name="KL_OVVSLTHA_T_13" localSheetId="11">Koond!#REF!</definedName>
    <definedName name="KL_OVVSLTHA_T_14" localSheetId="11">Koond!#REF!</definedName>
    <definedName name="KL_OVVSLTHA_T_15" localSheetId="11">Koond!#REF!</definedName>
    <definedName name="KL_OVVSLTHA_T_2" localSheetId="11">Koond!#REF!</definedName>
    <definedName name="KL_OVVSLTHA_T_3" localSheetId="11">Koond!#REF!</definedName>
    <definedName name="KL_OVVSLTHA_T_4" localSheetId="11">Koond!#REF!</definedName>
    <definedName name="KL_OVVSLTHA_T_5" localSheetId="11">Koond!#REF!</definedName>
    <definedName name="KL_OVVSLTHA_T_6" localSheetId="11">Koond!#REF!</definedName>
    <definedName name="KL_OVVSLTHA_T_7" localSheetId="11">Koond!#REF!</definedName>
    <definedName name="KL_OVVSLTHA_T_8" localSheetId="11">Koond!#REF!</definedName>
    <definedName name="KL_OVVSLTHA_T_9" localSheetId="11">Koond!#REF!</definedName>
    <definedName name="max" localSheetId="4">[1]lahustid!#REF!</definedName>
    <definedName name="max" localSheetId="6">[1]lahustid!#REF!</definedName>
    <definedName name="max" localSheetId="3">Lahustid!#REF!</definedName>
    <definedName name="max" localSheetId="9">[1]lahustid!#REF!</definedName>
    <definedName name="max" localSheetId="8">[1]lahustid!#REF!</definedName>
    <definedName name="max" localSheetId="5">[1]lahustid!#REF!</definedName>
    <definedName name="max">#REF!</definedName>
    <definedName name="para8" localSheetId="8">'Parafiini laadimine mahutitesse'!$A$16</definedName>
    <definedName name="para8lg1" localSheetId="8">'Parafiini laadimine mahutitesse'!$A$17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5"/>
  <c r="H6" i="16" l="1"/>
  <c r="V6" s="1"/>
  <c r="H7"/>
  <c r="H8"/>
  <c r="V8" s="1"/>
  <c r="H9"/>
  <c r="H10"/>
  <c r="H11"/>
  <c r="H12"/>
  <c r="V12" s="1"/>
  <c r="H13"/>
  <c r="H14"/>
  <c r="H15"/>
  <c r="H16"/>
  <c r="H17"/>
  <c r="H18"/>
  <c r="H19"/>
  <c r="H20"/>
  <c r="H21"/>
  <c r="V21" s="1"/>
  <c r="H22"/>
  <c r="H23"/>
  <c r="H24"/>
  <c r="H25"/>
  <c r="V25" s="1"/>
  <c r="H26"/>
  <c r="H5"/>
  <c r="H4"/>
  <c r="D73"/>
  <c r="K75"/>
  <c r="C60"/>
  <c r="I5" i="15"/>
  <c r="J5" s="1"/>
  <c r="V13" i="16"/>
  <c r="V17"/>
  <c r="C61"/>
  <c r="E69" s="1"/>
  <c r="D64"/>
  <c r="D65"/>
  <c r="D66"/>
  <c r="D67"/>
  <c r="D68"/>
  <c r="D69"/>
  <c r="D70"/>
  <c r="D71"/>
  <c r="D72"/>
  <c r="D74"/>
  <c r="D75"/>
  <c r="D76"/>
  <c r="D77"/>
  <c r="D78"/>
  <c r="D79"/>
  <c r="D80"/>
  <c r="D81"/>
  <c r="D82"/>
  <c r="D83"/>
  <c r="D84"/>
  <c r="D85"/>
  <c r="D63"/>
  <c r="C87"/>
  <c r="C86"/>
  <c r="P4"/>
  <c r="N4"/>
  <c r="K4"/>
  <c r="E5" i="15" s="1"/>
  <c r="L5" s="1"/>
  <c r="N26" i="16"/>
  <c r="K26"/>
  <c r="V26" s="1"/>
  <c r="N25"/>
  <c r="K25"/>
  <c r="N24"/>
  <c r="K24"/>
  <c r="N23"/>
  <c r="K23"/>
  <c r="N22"/>
  <c r="K22"/>
  <c r="N21"/>
  <c r="K21"/>
  <c r="N20"/>
  <c r="K20"/>
  <c r="N19"/>
  <c r="K19"/>
  <c r="N18"/>
  <c r="K18"/>
  <c r="V18" s="1"/>
  <c r="N17"/>
  <c r="K17"/>
  <c r="N16"/>
  <c r="K16"/>
  <c r="N15"/>
  <c r="K15"/>
  <c r="V15" s="1"/>
  <c r="N14"/>
  <c r="K14"/>
  <c r="N13"/>
  <c r="K13"/>
  <c r="P12"/>
  <c r="N12"/>
  <c r="K12"/>
  <c r="N11"/>
  <c r="K11"/>
  <c r="N10"/>
  <c r="K10"/>
  <c r="P9"/>
  <c r="N9"/>
  <c r="K9"/>
  <c r="N8"/>
  <c r="P8"/>
  <c r="K8"/>
  <c r="N7"/>
  <c r="K7"/>
  <c r="N6"/>
  <c r="K6"/>
  <c r="N5"/>
  <c r="K5"/>
  <c r="V22" l="1"/>
  <c r="V14"/>
  <c r="V9"/>
  <c r="Z9" s="1"/>
  <c r="Y9" s="1"/>
  <c r="V19"/>
  <c r="V10"/>
  <c r="V5"/>
  <c r="V23"/>
  <c r="V11"/>
  <c r="V7"/>
  <c r="V16"/>
  <c r="V20"/>
  <c r="V24"/>
  <c r="V4"/>
  <c r="Z4" s="1"/>
  <c r="F69"/>
  <c r="F10" s="1"/>
  <c r="E63"/>
  <c r="E65"/>
  <c r="F65" s="1"/>
  <c r="F6" s="1"/>
  <c r="E78"/>
  <c r="F78" s="1"/>
  <c r="F19" s="1"/>
  <c r="E79"/>
  <c r="F79" s="1"/>
  <c r="F20" s="1"/>
  <c r="E72"/>
  <c r="F72" s="1"/>
  <c r="F13" s="1"/>
  <c r="E81"/>
  <c r="F81" s="1"/>
  <c r="F22" s="1"/>
  <c r="E82"/>
  <c r="F82" s="1"/>
  <c r="F23" s="1"/>
  <c r="E74"/>
  <c r="F74" s="1"/>
  <c r="F15" s="1"/>
  <c r="E66"/>
  <c r="F66" s="1"/>
  <c r="F7" s="1"/>
  <c r="E73"/>
  <c r="F73" s="1"/>
  <c r="F14" s="1"/>
  <c r="E83"/>
  <c r="F83" s="1"/>
  <c r="F24" s="1"/>
  <c r="E75"/>
  <c r="F75" s="1"/>
  <c r="F16" s="1"/>
  <c r="E67"/>
  <c r="F67" s="1"/>
  <c r="F8" s="1"/>
  <c r="E70"/>
  <c r="F70" s="1"/>
  <c r="F11" s="1"/>
  <c r="E64"/>
  <c r="F64" s="1"/>
  <c r="F5" s="1"/>
  <c r="E84"/>
  <c r="F84" s="1"/>
  <c r="F25" s="1"/>
  <c r="E76"/>
  <c r="F76" s="1"/>
  <c r="F17" s="1"/>
  <c r="E68"/>
  <c r="F68" s="1"/>
  <c r="F9" s="1"/>
  <c r="E71"/>
  <c r="F71" s="1"/>
  <c r="F12" s="1"/>
  <c r="E80"/>
  <c r="F80" s="1"/>
  <c r="F21" s="1"/>
  <c r="E85"/>
  <c r="F85" s="1"/>
  <c r="F26" s="1"/>
  <c r="E77"/>
  <c r="F77" s="1"/>
  <c r="F18" s="1"/>
  <c r="D86"/>
  <c r="Z12"/>
  <c r="AB12" s="1"/>
  <c r="AA12" s="1"/>
  <c r="P25"/>
  <c r="Z25" s="1"/>
  <c r="Y25" s="1"/>
  <c r="P16"/>
  <c r="Z16" s="1"/>
  <c r="AB16" s="1"/>
  <c r="AA16" s="1"/>
  <c r="P20"/>
  <c r="Z20" s="1"/>
  <c r="P5"/>
  <c r="P13"/>
  <c r="Z13" s="1"/>
  <c r="Y13" s="1"/>
  <c r="P26"/>
  <c r="Z26" s="1"/>
  <c r="AB26" s="1"/>
  <c r="AA26" s="1"/>
  <c r="P17"/>
  <c r="Z17" s="1"/>
  <c r="AB17" s="1"/>
  <c r="AA17" s="1"/>
  <c r="P21"/>
  <c r="Z21" s="1"/>
  <c r="Y21" s="1"/>
  <c r="Z8"/>
  <c r="AB8" s="1"/>
  <c r="AA8" s="1"/>
  <c r="P6"/>
  <c r="Z6" s="1"/>
  <c r="P10"/>
  <c r="P14"/>
  <c r="P18"/>
  <c r="Z18" s="1"/>
  <c r="P22"/>
  <c r="P7"/>
  <c r="P11"/>
  <c r="Z11" s="1"/>
  <c r="P15"/>
  <c r="Z15" s="1"/>
  <c r="P19"/>
  <c r="P23"/>
  <c r="P24"/>
  <c r="Z14" l="1"/>
  <c r="AB14" s="1"/>
  <c r="AA14" s="1"/>
  <c r="Z22"/>
  <c r="Y22" s="1"/>
  <c r="Z7"/>
  <c r="AB7" s="1"/>
  <c r="AA7" s="1"/>
  <c r="Z19"/>
  <c r="AB19" s="1"/>
  <c r="AA19" s="1"/>
  <c r="Z23"/>
  <c r="AB23" s="1"/>
  <c r="AA23" s="1"/>
  <c r="Z10"/>
  <c r="Z24"/>
  <c r="AB24" s="1"/>
  <c r="AA24" s="1"/>
  <c r="Z5"/>
  <c r="AB5" s="1"/>
  <c r="AA5" s="1"/>
  <c r="F4"/>
  <c r="F27" s="1"/>
  <c r="F63"/>
  <c r="F86" s="1"/>
  <c r="D5" i="15" s="1"/>
  <c r="Y4" i="16"/>
  <c r="AB4"/>
  <c r="E86"/>
  <c r="AB9"/>
  <c r="AA9" s="1"/>
  <c r="Y12"/>
  <c r="Y17"/>
  <c r="AB21"/>
  <c r="AA21" s="1"/>
  <c r="Y26"/>
  <c r="Y24"/>
  <c r="AB20"/>
  <c r="AA20" s="1"/>
  <c r="Y20"/>
  <c r="AB13"/>
  <c r="AA13" s="1"/>
  <c r="AB25"/>
  <c r="AA25" s="1"/>
  <c r="Y8"/>
  <c r="Y16"/>
  <c r="Y6"/>
  <c r="AB6"/>
  <c r="AA6" s="1"/>
  <c r="AB11"/>
  <c r="AA11" s="1"/>
  <c r="Y11"/>
  <c r="Y18"/>
  <c r="AB18"/>
  <c r="AA18" s="1"/>
  <c r="AB10"/>
  <c r="AA10" s="1"/>
  <c r="Y10"/>
  <c r="Y15"/>
  <c r="AB15"/>
  <c r="AA15" s="1"/>
  <c r="AB22"/>
  <c r="AA22" s="1"/>
  <c r="Y7" l="1"/>
  <c r="Y14"/>
  <c r="Y19"/>
  <c r="Y23"/>
  <c r="Y5"/>
  <c r="Z27"/>
  <c r="AA4"/>
  <c r="AA27" s="1"/>
  <c r="AB27"/>
  <c r="M5" i="15"/>
  <c r="K5"/>
  <c r="Y27" i="16" l="1"/>
  <c r="E6" i="14" s="1"/>
  <c r="O5" i="15"/>
  <c r="F6" i="14"/>
  <c r="AO13"/>
  <c r="AO14"/>
  <c r="Q19" i="5"/>
  <c r="Q16"/>
  <c r="Q14"/>
  <c r="Q13"/>
  <c r="Q12"/>
  <c r="Q11"/>
  <c r="Q6"/>
  <c r="Q5"/>
  <c r="N5" i="15" l="1"/>
  <c r="E19" i="14" s="1"/>
  <c r="F19"/>
  <c r="M72" i="5"/>
  <c r="M74"/>
  <c r="M75"/>
  <c r="M76"/>
  <c r="M77"/>
  <c r="M60"/>
  <c r="M62"/>
  <c r="M63"/>
  <c r="M64"/>
  <c r="M65"/>
  <c r="M36"/>
  <c r="M38"/>
  <c r="M39"/>
  <c r="M40"/>
  <c r="M41"/>
  <c r="M25"/>
  <c r="M27"/>
  <c r="M28"/>
  <c r="M29"/>
  <c r="T6"/>
  <c r="T7"/>
  <c r="T8"/>
  <c r="T9"/>
  <c r="T10"/>
  <c r="T11"/>
  <c r="T12"/>
  <c r="T13"/>
  <c r="T14"/>
  <c r="T15"/>
  <c r="T16"/>
  <c r="T17"/>
  <c r="T18"/>
  <c r="T19"/>
  <c r="T5"/>
  <c r="K79"/>
  <c r="J79"/>
  <c r="K67"/>
  <c r="J67"/>
  <c r="K43"/>
  <c r="J43"/>
  <c r="K32"/>
  <c r="J32"/>
  <c r="K17" i="13" l="1"/>
  <c r="L17"/>
  <c r="M17"/>
  <c r="N17"/>
  <c r="O17"/>
  <c r="P17"/>
  <c r="Q17"/>
  <c r="R17"/>
  <c r="S17"/>
  <c r="T17"/>
  <c r="U17"/>
  <c r="J17"/>
  <c r="Y11"/>
  <c r="L19" i="5" l="1"/>
  <c r="U19" s="1"/>
  <c r="L16"/>
  <c r="U16" s="1"/>
  <c r="H9" i="4"/>
  <c r="L14" i="5"/>
  <c r="U14" s="1"/>
  <c r="L6"/>
  <c r="U6" s="1"/>
  <c r="L11"/>
  <c r="U11" s="1"/>
  <c r="L13"/>
  <c r="U13" s="1"/>
  <c r="L12"/>
  <c r="U12" s="1"/>
  <c r="B26" i="10" l="1"/>
  <c r="B18"/>
  <c r="B9"/>
  <c r="K4" i="7" l="1"/>
  <c r="E4"/>
  <c r="E8" s="1"/>
  <c r="B7" i="10" s="1"/>
  <c r="E23" i="1"/>
  <c r="E22"/>
  <c r="E15" i="8"/>
  <c r="K37" i="7"/>
  <c r="K5" l="1"/>
  <c r="K2" s="1"/>
  <c r="E5"/>
  <c r="E4" i="8"/>
  <c r="E6" i="7"/>
  <c r="D1"/>
  <c r="E18" l="1"/>
  <c r="E1" i="8"/>
  <c r="L11" i="7"/>
  <c r="K35"/>
  <c r="K36" s="1"/>
  <c r="L32" s="1"/>
  <c r="O32" s="1"/>
  <c r="D13" i="14" s="1"/>
  <c r="AP13" s="1"/>
  <c r="C34" i="17" s="1"/>
  <c r="E2" i="7"/>
  <c r="F29" s="1"/>
  <c r="E13"/>
  <c r="E43" s="1"/>
  <c r="F42" s="1"/>
  <c r="F43" s="1"/>
  <c r="E30"/>
  <c r="E23"/>
  <c r="E12"/>
  <c r="E42" s="1"/>
  <c r="E29"/>
  <c r="E11"/>
  <c r="E28"/>
  <c r="E9"/>
  <c r="E26"/>
  <c r="E22"/>
  <c r="E21"/>
  <c r="E20"/>
  <c r="E10"/>
  <c r="E19"/>
  <c r="E27"/>
  <c r="E17"/>
  <c r="E25"/>
  <c r="E16"/>
  <c r="E24"/>
  <c r="E14"/>
  <c r="E44" s="1"/>
  <c r="F44" s="1"/>
  <c r="L29"/>
  <c r="L27"/>
  <c r="L25"/>
  <c r="L23"/>
  <c r="L21"/>
  <c r="L19"/>
  <c r="L17"/>
  <c r="L13"/>
  <c r="P43" s="1"/>
  <c r="L9"/>
  <c r="L30"/>
  <c r="L28"/>
  <c r="L26"/>
  <c r="L24"/>
  <c r="L22"/>
  <c r="L20"/>
  <c r="L18"/>
  <c r="L16"/>
  <c r="L14"/>
  <c r="L12"/>
  <c r="P42" s="1"/>
  <c r="L10"/>
  <c r="L8"/>
  <c r="F21" l="1"/>
  <c r="O21" s="1"/>
  <c r="F28"/>
  <c r="O28" s="1"/>
  <c r="K29"/>
  <c r="N29" s="1"/>
  <c r="K11"/>
  <c r="N11" s="1"/>
  <c r="E12" i="8"/>
  <c r="E14" s="1"/>
  <c r="E16" s="1"/>
  <c r="E18" s="1"/>
  <c r="E3"/>
  <c r="E5" s="1"/>
  <c r="E7" s="1"/>
  <c r="O29" i="7"/>
  <c r="F12"/>
  <c r="G42" s="1"/>
  <c r="Q43"/>
  <c r="O13" s="1"/>
  <c r="D9" i="14" s="1"/>
  <c r="AP9" s="1"/>
  <c r="C30" i="17" s="1"/>
  <c r="Q42" i="7"/>
  <c r="O12" s="1"/>
  <c r="D8" i="14" s="1"/>
  <c r="P44" i="7"/>
  <c r="Q44" s="1"/>
  <c r="O14" s="1"/>
  <c r="D10" i="14" s="1"/>
  <c r="AP10" s="1"/>
  <c r="C31" i="17" s="1"/>
  <c r="L15" i="7"/>
  <c r="F23"/>
  <c r="O23" s="1"/>
  <c r="B35"/>
  <c r="B36" s="1"/>
  <c r="F31" s="1"/>
  <c r="O31" s="1"/>
  <c r="D14" i="14" s="1"/>
  <c r="AP14" s="1"/>
  <c r="C35" i="17" s="1"/>
  <c r="F27" i="7"/>
  <c r="O27" s="1"/>
  <c r="F14"/>
  <c r="G44" s="1"/>
  <c r="H44" s="1"/>
  <c r="F25"/>
  <c r="O25" s="1"/>
  <c r="D12" i="14" s="1"/>
  <c r="AP12" s="1"/>
  <c r="C33" i="17" s="1"/>
  <c r="F16" i="7"/>
  <c r="O16" s="1"/>
  <c r="F9"/>
  <c r="O9" s="1"/>
  <c r="D5" i="14" s="1"/>
  <c r="AP5" s="1"/>
  <c r="C26" i="17" s="1"/>
  <c r="F18" i="7"/>
  <c r="O18" s="1"/>
  <c r="F11"/>
  <c r="O11" s="1"/>
  <c r="D7" i="14" s="1"/>
  <c r="AP7" s="1"/>
  <c r="C28" i="17" s="1"/>
  <c r="F20" i="7"/>
  <c r="O20" s="1"/>
  <c r="F13"/>
  <c r="G43" s="1"/>
  <c r="F22"/>
  <c r="O22" s="1"/>
  <c r="F17"/>
  <c r="O17" s="1"/>
  <c r="F24"/>
  <c r="O24" s="1"/>
  <c r="D11" i="14" s="1"/>
  <c r="AP11" s="1"/>
  <c r="C32" i="17" s="1"/>
  <c r="F8" i="7"/>
  <c r="O8" s="1"/>
  <c r="D4" i="14" s="1"/>
  <c r="AP4" s="1"/>
  <c r="C25" i="17" s="1"/>
  <c r="F30" i="7"/>
  <c r="O30" s="1"/>
  <c r="F19"/>
  <c r="O19" s="1"/>
  <c r="F26"/>
  <c r="O26" s="1"/>
  <c r="F10"/>
  <c r="O10" s="1"/>
  <c r="D6" i="14" s="1"/>
  <c r="K30" i="7"/>
  <c r="N30" s="1"/>
  <c r="K13"/>
  <c r="N43" s="1"/>
  <c r="O42" s="1"/>
  <c r="K12"/>
  <c r="N42" s="1"/>
  <c r="K14"/>
  <c r="N44" s="1"/>
  <c r="O44" s="1"/>
  <c r="N14" s="1"/>
  <c r="K28"/>
  <c r="N28" s="1"/>
  <c r="K16"/>
  <c r="N16" s="1"/>
  <c r="K19"/>
  <c r="N19" s="1"/>
  <c r="K18"/>
  <c r="N18" s="1"/>
  <c r="K17"/>
  <c r="N17" s="1"/>
  <c r="K21"/>
  <c r="N21" s="1"/>
  <c r="K20"/>
  <c r="N20" s="1"/>
  <c r="K23"/>
  <c r="N23" s="1"/>
  <c r="K22"/>
  <c r="N22" s="1"/>
  <c r="K25"/>
  <c r="N25" s="1"/>
  <c r="C12" i="14" s="1"/>
  <c r="AO12" s="1"/>
  <c r="K9" i="7"/>
  <c r="N9" s="1"/>
  <c r="K24"/>
  <c r="N24" s="1"/>
  <c r="K8"/>
  <c r="K27"/>
  <c r="N27" s="1"/>
  <c r="K26"/>
  <c r="N26" s="1"/>
  <c r="K10"/>
  <c r="N10" s="1"/>
  <c r="C6" i="14" s="1"/>
  <c r="C10" l="1"/>
  <c r="C11"/>
  <c r="C7"/>
  <c r="C5"/>
  <c r="O43" i="7"/>
  <c r="N13" s="1"/>
  <c r="N12"/>
  <c r="C8" i="14" s="1"/>
  <c r="B24" i="10"/>
  <c r="H43" i="7"/>
  <c r="H42"/>
  <c r="N8"/>
  <c r="B16" i="10"/>
  <c r="E20" i="8"/>
  <c r="B17" i="10"/>
  <c r="E9" i="8"/>
  <c r="B8" i="10"/>
  <c r="B11" s="1"/>
  <c r="B12" s="1"/>
  <c r="K15" i="7"/>
  <c r="F15"/>
  <c r="AO7" i="14" l="1"/>
  <c r="M19" i="13" s="1"/>
  <c r="M21" s="1"/>
  <c r="O19"/>
  <c r="O21" s="1"/>
  <c r="AO10" i="14"/>
  <c r="AO11"/>
  <c r="P19" i="13" s="1"/>
  <c r="P21" s="1"/>
  <c r="K19"/>
  <c r="K21" s="1"/>
  <c r="AO5" i="14"/>
  <c r="C4"/>
  <c r="C9"/>
  <c r="B20" i="10"/>
  <c r="B21" s="1"/>
  <c r="B25"/>
  <c r="B28" s="1"/>
  <c r="B29" s="1"/>
  <c r="E15" i="7"/>
  <c r="N15" s="1"/>
  <c r="O15"/>
  <c r="AO9" i="14" l="1"/>
  <c r="N19" i="13" s="1"/>
  <c r="N21" s="1"/>
  <c r="AO4" i="14"/>
  <c r="J19" i="13" s="1"/>
  <c r="J21" s="1"/>
  <c r="D2" i="6"/>
  <c r="F2" s="1"/>
  <c r="D14" s="1"/>
  <c r="E14" s="1"/>
  <c r="E12" i="5"/>
  <c r="V12" s="1"/>
  <c r="E14"/>
  <c r="E5"/>
  <c r="L5"/>
  <c r="U5" s="1"/>
  <c r="D4" i="4"/>
  <c r="E4" s="1"/>
  <c r="L4" s="1"/>
  <c r="D5"/>
  <c r="E5" s="1"/>
  <c r="D6"/>
  <c r="E6" s="1"/>
  <c r="L6" s="1"/>
  <c r="D7"/>
  <c r="E7" s="1"/>
  <c r="D8"/>
  <c r="E8" s="1"/>
  <c r="D9"/>
  <c r="E9" s="1"/>
  <c r="D10"/>
  <c r="E10" s="1"/>
  <c r="D3"/>
  <c r="E3" s="1"/>
  <c r="L3" s="1"/>
  <c r="C4"/>
  <c r="D6" i="5" s="1"/>
  <c r="C5" i="4"/>
  <c r="D11" i="5" s="1"/>
  <c r="C6" i="4"/>
  <c r="D12" i="5" s="1"/>
  <c r="C7" i="4"/>
  <c r="D13" i="5" s="1"/>
  <c r="C8" i="4"/>
  <c r="D14" i="5" s="1"/>
  <c r="C9" i="4"/>
  <c r="D16" i="5" s="1"/>
  <c r="C10" i="4"/>
  <c r="D19" i="5" s="1"/>
  <c r="C3" i="4"/>
  <c r="D5" i="5" s="1"/>
  <c r="E19"/>
  <c r="V19" s="1"/>
  <c r="E16"/>
  <c r="H7" i="4"/>
  <c r="E13" i="5" s="1"/>
  <c r="V13" s="1"/>
  <c r="H5" i="4"/>
  <c r="E11" i="5" s="1"/>
  <c r="V11" s="1"/>
  <c r="E6"/>
  <c r="AK8" i="14" l="1"/>
  <c r="L14" i="6"/>
  <c r="K14" s="1"/>
  <c r="V15" i="5"/>
  <c r="V14"/>
  <c r="V16"/>
  <c r="V17"/>
  <c r="V18"/>
  <c r="V8"/>
  <c r="V9"/>
  <c r="V10"/>
  <c r="V7"/>
  <c r="V6"/>
  <c r="M12"/>
  <c r="M11"/>
  <c r="M6"/>
  <c r="M9"/>
  <c r="M10"/>
  <c r="M7"/>
  <c r="M8"/>
  <c r="M19"/>
  <c r="M14"/>
  <c r="M15"/>
  <c r="M17"/>
  <c r="M18"/>
  <c r="M16"/>
  <c r="M13"/>
  <c r="G13"/>
  <c r="L7" i="4"/>
  <c r="G9"/>
  <c r="F16" i="5" s="1"/>
  <c r="P16" s="1"/>
  <c r="L9" i="4"/>
  <c r="L10"/>
  <c r="G19" i="5" s="1"/>
  <c r="L8" i="4"/>
  <c r="G14" i="5" s="1"/>
  <c r="G3" i="4"/>
  <c r="F5" i="5" s="1"/>
  <c r="P5" s="1"/>
  <c r="G5"/>
  <c r="G6"/>
  <c r="L5" i="4"/>
  <c r="G11" i="5" s="1"/>
  <c r="G4" i="4"/>
  <c r="F6" i="5" s="1"/>
  <c r="P6" s="1"/>
  <c r="G6" i="4"/>
  <c r="G12" i="5"/>
  <c r="G16"/>
  <c r="M5"/>
  <c r="V5" s="1"/>
  <c r="G10" i="4"/>
  <c r="D11"/>
  <c r="G5"/>
  <c r="E11"/>
  <c r="G8"/>
  <c r="G7"/>
  <c r="AO8" i="14" l="1"/>
  <c r="AM8"/>
  <c r="X18" i="5"/>
  <c r="X17"/>
  <c r="X16"/>
  <c r="X5"/>
  <c r="R5"/>
  <c r="X10"/>
  <c r="X7"/>
  <c r="X9"/>
  <c r="X6"/>
  <c r="X8"/>
  <c r="L19" i="6"/>
  <c r="AN8" i="14" s="1"/>
  <c r="L18" i="6"/>
  <c r="AL8" i="14" s="1"/>
  <c r="O18" i="5"/>
  <c r="N18" s="1"/>
  <c r="O16"/>
  <c r="N16" s="1"/>
  <c r="O17"/>
  <c r="N17" s="1"/>
  <c r="O9"/>
  <c r="N9" s="1"/>
  <c r="O10"/>
  <c r="N10" s="1"/>
  <c r="O8"/>
  <c r="O6"/>
  <c r="O7"/>
  <c r="O5"/>
  <c r="J9" i="4"/>
  <c r="J4"/>
  <c r="M4" s="1"/>
  <c r="J10"/>
  <c r="M10" s="1"/>
  <c r="F19" i="5"/>
  <c r="P19" s="1"/>
  <c r="X19" s="1"/>
  <c r="K52" s="1"/>
  <c r="J5" i="4"/>
  <c r="M5" s="1"/>
  <c r="F11" i="5"/>
  <c r="P11" s="1"/>
  <c r="X11" s="1"/>
  <c r="J6" i="4"/>
  <c r="M6" s="1"/>
  <c r="F12" i="5"/>
  <c r="P12" s="1"/>
  <c r="X12" s="1"/>
  <c r="J8" i="4"/>
  <c r="M8" s="1"/>
  <c r="F14" i="5"/>
  <c r="P14" s="1"/>
  <c r="J7" i="4"/>
  <c r="M7" s="1"/>
  <c r="F13" i="5"/>
  <c r="M9" i="4"/>
  <c r="G11"/>
  <c r="J3"/>
  <c r="M3" s="1"/>
  <c r="AP8" i="14" l="1"/>
  <c r="C29" i="17" s="1"/>
  <c r="W5" i="5"/>
  <c r="K73"/>
  <c r="K61"/>
  <c r="K37"/>
  <c r="P6" i="14" s="1"/>
  <c r="X15" i="5"/>
  <c r="X14"/>
  <c r="K49" s="1"/>
  <c r="M49" s="1"/>
  <c r="F20"/>
  <c r="N6"/>
  <c r="E27" s="1"/>
  <c r="F27"/>
  <c r="F32" s="1"/>
  <c r="F25"/>
  <c r="N7"/>
  <c r="E25" s="1"/>
  <c r="O12"/>
  <c r="N12" s="1"/>
  <c r="O19"/>
  <c r="N19" s="1"/>
  <c r="R6"/>
  <c r="W9" s="1"/>
  <c r="P13"/>
  <c r="X13" s="1"/>
  <c r="K26" s="1"/>
  <c r="H6" i="14" s="1"/>
  <c r="O13" i="5"/>
  <c r="N13" s="1"/>
  <c r="O11"/>
  <c r="N11" s="1"/>
  <c r="O14"/>
  <c r="N14" s="1"/>
  <c r="O15"/>
  <c r="F29"/>
  <c r="N8"/>
  <c r="E29" s="1"/>
  <c r="R16"/>
  <c r="N5"/>
  <c r="E26" s="1"/>
  <c r="J11" i="4"/>
  <c r="W8" i="5" l="1"/>
  <c r="W6"/>
  <c r="J50" s="1"/>
  <c r="F26"/>
  <c r="M73"/>
  <c r="K78"/>
  <c r="AH6" i="14" s="1"/>
  <c r="AJ6" s="1"/>
  <c r="K31" i="5"/>
  <c r="M31" s="1"/>
  <c r="M26"/>
  <c r="K66"/>
  <c r="AF6" i="14" s="1"/>
  <c r="M61" i="5"/>
  <c r="R6" i="14"/>
  <c r="T6" s="1"/>
  <c r="M37" i="5"/>
  <c r="K42"/>
  <c r="O20"/>
  <c r="E32"/>
  <c r="W17"/>
  <c r="R12"/>
  <c r="W18"/>
  <c r="W16"/>
  <c r="R14"/>
  <c r="W10"/>
  <c r="K50"/>
  <c r="V16" i="14" s="1"/>
  <c r="N15" i="5"/>
  <c r="E28" s="1"/>
  <c r="F28"/>
  <c r="R13"/>
  <c r="R19"/>
  <c r="R11"/>
  <c r="W7"/>
  <c r="J48" s="1"/>
  <c r="U15" i="14" s="1"/>
  <c r="K48" i="5"/>
  <c r="AO15" i="14" l="1"/>
  <c r="AP16"/>
  <c r="C37" i="17" s="1"/>
  <c r="F31" i="5"/>
  <c r="E31"/>
  <c r="X16" i="14"/>
  <c r="Z16" s="1"/>
  <c r="AB16" s="1"/>
  <c r="AD16" s="1"/>
  <c r="J6"/>
  <c r="W15"/>
  <c r="Y15" s="1"/>
  <c r="AA15" s="1"/>
  <c r="AC15" s="1"/>
  <c r="V15"/>
  <c r="J55" i="5"/>
  <c r="U19" i="14" s="1"/>
  <c r="U16"/>
  <c r="J61" i="5"/>
  <c r="J66" s="1"/>
  <c r="AE6" i="14" s="1"/>
  <c r="W11" i="5"/>
  <c r="M42"/>
  <c r="W19"/>
  <c r="W12"/>
  <c r="J37" s="1"/>
  <c r="M48"/>
  <c r="M66"/>
  <c r="W15"/>
  <c r="J51" s="1"/>
  <c r="U17" i="14" s="1"/>
  <c r="K51" i="5"/>
  <c r="W13"/>
  <c r="W14"/>
  <c r="K55"/>
  <c r="V19" i="14" s="1"/>
  <c r="M50" i="5"/>
  <c r="J78" l="1"/>
  <c r="AG6" i="14" s="1"/>
  <c r="AI6" s="1"/>
  <c r="J73" i="5"/>
  <c r="L6" i="14"/>
  <c r="N6" s="1"/>
  <c r="J26" i="5"/>
  <c r="J31" s="1"/>
  <c r="U18" i="14"/>
  <c r="J52" i="5"/>
  <c r="W19" i="14"/>
  <c r="Y19" s="1"/>
  <c r="AA19" s="1"/>
  <c r="AC19" s="1"/>
  <c r="X15"/>
  <c r="Z15" s="1"/>
  <c r="AB15" s="1"/>
  <c r="AD15" s="1"/>
  <c r="M51" i="5"/>
  <c r="V17" i="14"/>
  <c r="M52" i="5"/>
  <c r="V18" i="14"/>
  <c r="X19"/>
  <c r="Z19" s="1"/>
  <c r="AB19" s="1"/>
  <c r="AD19" s="1"/>
  <c r="W16"/>
  <c r="Y16" s="1"/>
  <c r="AA16" s="1"/>
  <c r="AC16" s="1"/>
  <c r="J42" i="5"/>
  <c r="O6" i="14"/>
  <c r="Q6" s="1"/>
  <c r="S6" s="1"/>
  <c r="W17"/>
  <c r="Y17" s="1"/>
  <c r="AA17" s="1"/>
  <c r="AC17" s="1"/>
  <c r="K54" i="5"/>
  <c r="Q19" i="13"/>
  <c r="Q21" s="1"/>
  <c r="J49" i="5"/>
  <c r="J54" s="1"/>
  <c r="U6" i="14" s="1"/>
  <c r="W6" s="1"/>
  <c r="Y6" s="1"/>
  <c r="AA6" s="1"/>
  <c r="AC6" s="1"/>
  <c r="M78" i="5"/>
  <c r="AO17" i="14" l="1"/>
  <c r="S19" i="13" s="1"/>
  <c r="S21" s="1"/>
  <c r="AO19" i="14"/>
  <c r="U19" i="13" s="1"/>
  <c r="U21" s="1"/>
  <c r="AP19" i="14"/>
  <c r="C40" i="17" s="1"/>
  <c r="W18" i="14"/>
  <c r="Y18" s="1"/>
  <c r="AA18" s="1"/>
  <c r="AC18" s="1"/>
  <c r="AO16"/>
  <c r="AP15"/>
  <c r="C36" i="17" s="1"/>
  <c r="V6" i="14"/>
  <c r="X6" s="1"/>
  <c r="Z6" s="1"/>
  <c r="AB6" s="1"/>
  <c r="AD6" s="1"/>
  <c r="M54" i="5"/>
  <c r="G31" s="1"/>
  <c r="G6" i="14"/>
  <c r="R19" i="13"/>
  <c r="R21" s="1"/>
  <c r="X18" i="14"/>
  <c r="Z18" s="1"/>
  <c r="AB18" s="1"/>
  <c r="AD18" s="1"/>
  <c r="X17"/>
  <c r="Z17" s="1"/>
  <c r="AB17" s="1"/>
  <c r="AD17" s="1"/>
  <c r="AO18" l="1"/>
  <c r="T19" i="13" s="1"/>
  <c r="T21" s="1"/>
  <c r="AP18" i="14"/>
  <c r="C39" i="17" s="1"/>
  <c r="AP17" i="14"/>
  <c r="C38" i="17" s="1"/>
  <c r="I6" i="14"/>
  <c r="K6" s="1"/>
  <c r="M6" s="1"/>
  <c r="AP6"/>
  <c r="C27" i="17" s="1"/>
  <c r="AO6" i="14" l="1"/>
  <c r="L19" i="13" s="1"/>
  <c r="L21" s="1"/>
</calcChain>
</file>

<file path=xl/comments1.xml><?xml version="1.0" encoding="utf-8"?>
<comments xmlns="http://schemas.openxmlformats.org/spreadsheetml/2006/main">
  <authors>
    <author>Piret</author>
  </authors>
  <commentList>
    <comment ref="G1" authorId="0">
      <text>
        <r>
          <rPr>
            <b/>
            <sz val="10"/>
            <color indexed="81"/>
            <rFont val="Tahoma"/>
            <family val="2"/>
            <charset val="186"/>
          </rPr>
          <t>Piret:</t>
        </r>
        <r>
          <rPr>
            <sz val="10"/>
            <color indexed="81"/>
            <rFont val="Tahoma"/>
            <family val="2"/>
            <charset val="186"/>
          </rPr>
          <t xml:space="preserve">
Mass=tihedus x ruumala (kui ruumala liitrites, siis jagada 1000-dega)</t>
        </r>
      </text>
    </comment>
    <comment ref="H1" authorId="0">
      <text>
        <r>
          <rPr>
            <b/>
            <sz val="10"/>
            <color indexed="81"/>
            <rFont val="Tahoma"/>
            <family val="2"/>
            <charset val="186"/>
          </rPr>
          <t>Piret:</t>
        </r>
        <r>
          <rPr>
            <sz val="10"/>
            <color indexed="81"/>
            <rFont val="Tahoma"/>
            <family val="2"/>
            <charset val="186"/>
          </rPr>
          <t xml:space="preserve">
Antud ohutuskaardil, kas VOC, LOÜ, lendavus, volatility vms. Võib olla antud nii g/l kui ka %. Tabelisse teha kõik üheks ühikuks</t>
        </r>
      </text>
    </comment>
    <comment ref="J1" authorId="0">
      <text>
        <r>
          <rPr>
            <b/>
            <sz val="10"/>
            <color indexed="81"/>
            <rFont val="Tahoma"/>
            <family val="2"/>
            <charset val="186"/>
          </rPr>
          <t>Piret:</t>
        </r>
        <r>
          <rPr>
            <sz val="10"/>
            <color indexed="81"/>
            <rFont val="Tahoma"/>
            <family val="2"/>
            <charset val="186"/>
          </rPr>
          <t xml:space="preserve">
Tonnides kogus x LOÜ sisaldus %
</t>
        </r>
      </text>
    </comment>
  </commentList>
</comments>
</file>

<file path=xl/sharedStrings.xml><?xml version="1.0" encoding="utf-8"?>
<sst xmlns="http://schemas.openxmlformats.org/spreadsheetml/2006/main" count="895" uniqueCount="471">
  <si>
    <t>White Spirit</t>
  </si>
  <si>
    <t>Nitrolahusti 646</t>
  </si>
  <si>
    <t>PENOSIL General Silicone</t>
  </si>
  <si>
    <t>Linx Solvent 1512</t>
  </si>
  <si>
    <t>AlphaJET solvent</t>
  </si>
  <si>
    <t>Puhastusspray</t>
  </si>
  <si>
    <t>Silikoonivõie spray 500 ml</t>
  </si>
  <si>
    <t>Atsetoon</t>
  </si>
  <si>
    <t>Kasutatav kogus, l</t>
  </si>
  <si>
    <t>Magaas</t>
  </si>
  <si>
    <t>Puitpellet</t>
  </si>
  <si>
    <t>tuh.m3/a</t>
  </si>
  <si>
    <t>t/a</t>
  </si>
  <si>
    <t>Jkr nr</t>
  </si>
  <si>
    <t>Liik</t>
  </si>
  <si>
    <t>Taotletav kogus, l</t>
  </si>
  <si>
    <t>Kasutatav kogus, kg</t>
  </si>
  <si>
    <t>Tihedus, kg/l</t>
  </si>
  <si>
    <t>Kasutatav kogus, t</t>
  </si>
  <si>
    <t>LOÜ sisaldus, %</t>
  </si>
  <si>
    <t>LOÜ sisaldus, g/l</t>
  </si>
  <si>
    <t>Eralduv LOÜ kogus, t</t>
  </si>
  <si>
    <t>Tähis</t>
  </si>
  <si>
    <t>tööaeg,  h</t>
  </si>
  <si>
    <t>NMVOC g/s</t>
  </si>
  <si>
    <t>kg/h</t>
  </si>
  <si>
    <t>Kokku</t>
  </si>
  <si>
    <t>Nimetus</t>
  </si>
  <si>
    <t>Nr</t>
  </si>
  <si>
    <t>Heitealllikas</t>
  </si>
  <si>
    <t>Lahusteid sisaldav kemikaal</t>
  </si>
  <si>
    <t>LOÜ-de sisaldus massi%</t>
  </si>
  <si>
    <t>Lahusteid sisaldava kemikaali kasutamine</t>
  </si>
  <si>
    <t>Välisõhku väljutatud  LOÜ-de heitkogus saasteainete kaupa</t>
  </si>
  <si>
    <t>Kemikaal kogus aastas, tonni</t>
  </si>
  <si>
    <t>Töötundide arv aastas</t>
  </si>
  <si>
    <t>CAS nr</t>
  </si>
  <si>
    <t>Grupeerimine</t>
  </si>
  <si>
    <t>Maksimaalne sisaldus kemikaalis% (ohutuskaardilt)</t>
  </si>
  <si>
    <t>Ohutuskaardi järgi LOÜ summa</t>
  </si>
  <si>
    <t>Maksimaalse sisalduse osatähtsus %</t>
  </si>
  <si>
    <t>Tüüp</t>
  </si>
  <si>
    <t>Hetkeline heitkogus, g/s</t>
  </si>
  <si>
    <t>Aastane heitkogus, t/a</t>
  </si>
  <si>
    <t>V1</t>
  </si>
  <si>
    <t>NMVOC</t>
  </si>
  <si>
    <t>n-butüülatsetaat</t>
  </si>
  <si>
    <t>Tolueen</t>
  </si>
  <si>
    <t>Propanool</t>
  </si>
  <si>
    <t>saasteaine</t>
  </si>
  <si>
    <t>g/s kokku</t>
  </si>
  <si>
    <t>Aromaatsed BTEX</t>
  </si>
  <si>
    <t>Puidu kogus aastas, m3</t>
  </si>
  <si>
    <t>m3</t>
  </si>
  <si>
    <t>tonni</t>
  </si>
  <si>
    <t>Временные методические указания по расчету выбросов загрязняющих веществ в атмосферный воздух предприятиями деревообрабатывающей промышленности</t>
  </si>
  <si>
    <t>https://znaytovar.ru/gost/2/Vremennye_metodicheskie_ukazan2.html</t>
  </si>
  <si>
    <t>Heiteallikas</t>
  </si>
  <si>
    <t>Puidutolmu sisaldus jäätmetes, %</t>
  </si>
  <si>
    <t>Tekkiv puidujäätmete kogus, t/a</t>
  </si>
  <si>
    <t>Pneumotranspordisüsteemi tootlikkus kg/h</t>
  </si>
  <si>
    <t>Tööaeg h/a</t>
  </si>
  <si>
    <t>Kohtäratõmbe efektiivsus</t>
  </si>
  <si>
    <t>Püüdeseadme efektiivsus</t>
  </si>
  <si>
    <t>Välisõhku väljutatav saasteaine</t>
  </si>
  <si>
    <t>Nr plaanil või kaardil</t>
  </si>
  <si>
    <t>nimetus</t>
  </si>
  <si>
    <t>CAS/ EINECS/ ELINCS nr</t>
  </si>
  <si>
    <t>Heitkogus</t>
  </si>
  <si>
    <t>maksi- maalne hetkeline, g/s</t>
  </si>
  <si>
    <t>tonni/a</t>
  </si>
  <si>
    <t>V2</t>
  </si>
  <si>
    <t>PMsum</t>
  </si>
  <si>
    <t>Osakesed</t>
  </si>
  <si>
    <t xml:space="preserve">Pneumotranspordi- või aspiratsioonisüsteemi suunatava puidutolmu aasta kogus tonnides arvutatakse järgmist valemit kasutades: </t>
  </si>
  <si>
    <t xml:space="preserve">M = 10-3 * q * q40 * kt * (1-n) * t    ehk    </t>
  </si>
  <si>
    <t>M = 10-3 * Q * q1 * q40 * kt * (1-n) * t, kus</t>
  </si>
  <si>
    <t>Q – pneumotranspordisüsteemi tootlikkus, kg/h</t>
  </si>
  <si>
    <t>Q1 –puidutolmu sisaldus transporditavates puidujäätmetes, % (höövlilaastude ja saepuru korral jääb alla 250 µm puidutolmu sisaldus u 12% juurde.  Edaspidistes arvutustes on kasutatud, et puidutolmu sisaldus puidujäätmetes on 12%.</t>
  </si>
  <si>
    <t>Puidutolmu eriheite q (kg/h) saame, kui leiame pneumotranspordisüsteemi tootlikkuse (Q) ja puidutolmu sisalduse (q1) korrutise.  q = Q * q1</t>
  </si>
  <si>
    <t>q40 – välisõhku eralduva puidutolmu sisaldus tekkiva puidutolmu üldkoguses, kaaluosades; q40 = 0,03 – tegemist valdavalt saagimisega;</t>
  </si>
  <si>
    <t>kt – kohtäratõmbe efektiivsus, mis on võrdne 1</t>
  </si>
  <si>
    <t>n – püüdeseadme efektiivsus vastavussertifikaadi või mõõtmistulemuste järgi</t>
  </si>
  <si>
    <t>t – tehnoloogiaprotsessi kestus, tundi aastas.</t>
  </si>
  <si>
    <t>m3/a</t>
  </si>
  <si>
    <t>Tolmu kogused jagunevad kahe tsükloni vahel võrdselt.</t>
  </si>
  <si>
    <t>V24, V25</t>
  </si>
  <si>
    <t>Saepuru kogus tsüklonites</t>
  </si>
  <si>
    <t>Laetud parafiini kogus mahutitesse</t>
  </si>
  <si>
    <t>B1=</t>
  </si>
  <si>
    <t>[GJ]</t>
  </si>
  <si>
    <t>Soojussisendile vastav võimsus</t>
  </si>
  <si>
    <t>MW</t>
  </si>
  <si>
    <t>Kütuse aastakulu, B  t/a või tuh m3/a</t>
  </si>
  <si>
    <t>tuh m3/a</t>
  </si>
  <si>
    <t>Kütuse alumine kütteväärtus, MJ/kg</t>
  </si>
  <si>
    <t>MJ/kg</t>
  </si>
  <si>
    <t>CAS</t>
  </si>
  <si>
    <t>Saasteaine</t>
  </si>
  <si>
    <t>Saasteaine eriheite ühik</t>
  </si>
  <si>
    <t>Eriheide g/GJ metallidel mg/GJ</t>
  </si>
  <si>
    <t>Hetkeline heitkogus, g/s metallidel, mg/s</t>
  </si>
  <si>
    <t>Aastane heitkogus, t/a metllidel, kg/a</t>
  </si>
  <si>
    <t>10102-44-0</t>
  </si>
  <si>
    <t>Lämmastikdioksiid</t>
  </si>
  <si>
    <t>g/GJ</t>
  </si>
  <si>
    <t>630-08-0</t>
  </si>
  <si>
    <t>Süsinikoksiid</t>
  </si>
  <si>
    <t>NMHC</t>
  </si>
  <si>
    <t>Lenduvad orgaanilised ühendid</t>
  </si>
  <si>
    <t>7446-09-5</t>
  </si>
  <si>
    <t>Vääveldioksiid</t>
  </si>
  <si>
    <t>PM10</t>
  </si>
  <si>
    <t>Peenosakesed</t>
  </si>
  <si>
    <t>PM2,5</t>
  </si>
  <si>
    <t>Eriti peened osakesed</t>
  </si>
  <si>
    <t>BC</t>
  </si>
  <si>
    <t>Must süsinik</t>
  </si>
  <si>
    <t>% PM2,5-st</t>
  </si>
  <si>
    <t>7439-92-1</t>
  </si>
  <si>
    <t>Plii</t>
  </si>
  <si>
    <t>mg/GJ</t>
  </si>
  <si>
    <t>7440-43-9</t>
  </si>
  <si>
    <t>Kaadmium</t>
  </si>
  <si>
    <t>7439-97-9</t>
  </si>
  <si>
    <t>Elavhõbe</t>
  </si>
  <si>
    <t>7440-38-2</t>
  </si>
  <si>
    <t>Arseen</t>
  </si>
  <si>
    <t>7440-47-3</t>
  </si>
  <si>
    <t>Kroom</t>
  </si>
  <si>
    <t>7440-50-8</t>
  </si>
  <si>
    <t>Vask</t>
  </si>
  <si>
    <t>7440-02-0</t>
  </si>
  <si>
    <t>Nikkel</t>
  </si>
  <si>
    <t>7782-49-2</t>
  </si>
  <si>
    <t>Seleen</t>
  </si>
  <si>
    <t>7440-66-6</t>
  </si>
  <si>
    <t>Tsink</t>
  </si>
  <si>
    <t>7664-41-7</t>
  </si>
  <si>
    <t>Ammoniaak</t>
  </si>
  <si>
    <t>Polüklooritud dibenso-dioksiinid ja
dibensofuraanid (PCDD/PCDF)</t>
  </si>
  <si>
    <t>ng/GJ</t>
  </si>
  <si>
    <t>Benso(a)püreen</t>
  </si>
  <si>
    <t>µg/GJ</t>
  </si>
  <si>
    <t>Benso(b)fluoranteen</t>
  </si>
  <si>
    <t>Benso(k)fluoranteen</t>
  </si>
  <si>
    <t>Indeo(1,2,3-cd)püreen</t>
  </si>
  <si>
    <t>124-38-9</t>
  </si>
  <si>
    <t xml:space="preserve">Süsinikdioksiid </t>
  </si>
  <si>
    <t>qc</t>
  </si>
  <si>
    <t>tC/TJ</t>
  </si>
  <si>
    <t xml:space="preserve">Kc </t>
  </si>
  <si>
    <t>Mc = 10-3 x B1 x qc x Kc=</t>
  </si>
  <si>
    <t>Mco = Mc x 3.664</t>
  </si>
  <si>
    <t>N=</t>
  </si>
  <si>
    <t>Arvestatakse, et kütuse kuivaine stöhhiomeetrilisel põlemisel tekkiv ligikaudne kogus kuivi suitsugaase energiaühiku kohta on 0,25 Nm3/MJ.</t>
  </si>
  <si>
    <t>V=</t>
  </si>
  <si>
    <t xml:space="preserve"> Nm3/s</t>
  </si>
  <si>
    <t>α=</t>
  </si>
  <si>
    <t>gaas ja vedelik - 3%, tahke - 6%</t>
  </si>
  <si>
    <t>Vg=</t>
  </si>
  <si>
    <t>Nm3/s</t>
  </si>
  <si>
    <t>Mahtkiirus temperatuuril :</t>
  </si>
  <si>
    <t>C</t>
  </si>
  <si>
    <t>Vt=</t>
  </si>
  <si>
    <t xml:space="preserve"> m3/s</t>
  </si>
  <si>
    <t>Leiame suitsugaaside joonkiiruse v kasutades valemit v = 4* ω / ( π * d2)</t>
  </si>
  <si>
    <t>D=</t>
  </si>
  <si>
    <t>m</t>
  </si>
  <si>
    <t>V0=</t>
  </si>
  <si>
    <t xml:space="preserve"> m/s</t>
  </si>
  <si>
    <t>Puidupellet</t>
  </si>
  <si>
    <t>%</t>
  </si>
  <si>
    <t>Süsinikdioksiid biomassist</t>
  </si>
  <si>
    <t>Väävlisisaldus</t>
  </si>
  <si>
    <t xml:space="preserve">Põletamisel püüdeseade </t>
  </si>
  <si>
    <t>Arv</t>
  </si>
  <si>
    <t>Püütav saasteaine</t>
  </si>
  <si>
    <t>Puhastus %</t>
  </si>
  <si>
    <t>Enne püüdeseadet g/s</t>
  </si>
  <si>
    <t>Pärast püüdeseadet g/s</t>
  </si>
  <si>
    <t>Enne püüdeseadet t/a</t>
  </si>
  <si>
    <t>Pärast püüdeseadet t/a</t>
  </si>
  <si>
    <t>Multitsüklon</t>
  </si>
  <si>
    <t>PM2.5</t>
  </si>
  <si>
    <t>Saasteained taotlusele</t>
  </si>
  <si>
    <t>124-38-9 bio</t>
  </si>
  <si>
    <t>Maagaas</t>
  </si>
  <si>
    <t>HEIT0001001</t>
  </si>
  <si>
    <t>HEIT0008466</t>
  </si>
  <si>
    <t>Katlamaja korsten</t>
  </si>
  <si>
    <t>K1</t>
  </si>
  <si>
    <t>Liini SLURR ventilatsioon</t>
  </si>
  <si>
    <t>V15</t>
  </si>
  <si>
    <t>HEIT0001002</t>
  </si>
  <si>
    <t>Mahutipark</t>
  </si>
  <si>
    <t>HEIT0008467</t>
  </si>
  <si>
    <t>Õueküünlatsehhi ventilatsioon nr 1</t>
  </si>
  <si>
    <t>V16</t>
  </si>
  <si>
    <t>HEIT0008468</t>
  </si>
  <si>
    <t>Õueküünlatsehhi ventilatsioon nr 2</t>
  </si>
  <si>
    <t>V17</t>
  </si>
  <si>
    <t>HEIT0008469</t>
  </si>
  <si>
    <t>Puidutöökoja ventilatsioon nr 1</t>
  </si>
  <si>
    <t>V24</t>
  </si>
  <si>
    <t>HEIT0008470</t>
  </si>
  <si>
    <t>Puidutöökoja ventilatsioon nr 2</t>
  </si>
  <si>
    <t>V25</t>
  </si>
  <si>
    <t>HEIT0008461</t>
  </si>
  <si>
    <t>Siseküünlatsehhi liini nr 1 ventilatsiooni ava AVR</t>
  </si>
  <si>
    <t>V9 (V37)</t>
  </si>
  <si>
    <t>HEIT0008464</t>
  </si>
  <si>
    <t>Siseküünlatsehhi liini nr 2 ja liini nr 3 ventilatsiooni ava 14</t>
  </si>
  <si>
    <t>V12 (V56)</t>
  </si>
  <si>
    <t>HEIT0008465</t>
  </si>
  <si>
    <t>Siseküünlatsehhi liini nr 2 ja liini nr 3 ventilatsiooni ava 2</t>
  </si>
  <si>
    <t>V13 (57)</t>
  </si>
  <si>
    <t>HEIT0008462</t>
  </si>
  <si>
    <t>Siseküünlatsehhi liini nr 2 ja liini nr 3 ventilatsiooni ava 6</t>
  </si>
  <si>
    <t>V10 (V30)</t>
  </si>
  <si>
    <t>HEIT0008463</t>
  </si>
  <si>
    <t>Siseküünlatsehhi liini nr 2 ja liini nr 3 ventilatsiooni ava 9</t>
  </si>
  <si>
    <t>V11 (V31)</t>
  </si>
  <si>
    <t>HEIT0008460</t>
  </si>
  <si>
    <t>Valuteeküünla tsehhi liini GLIMMA ventilatsiooni ava nr 5</t>
  </si>
  <si>
    <t>V8 (V32)</t>
  </si>
  <si>
    <t>HEIT0008459</t>
  </si>
  <si>
    <t>Valuteeküünla tsehhi liini GLIMMA ventilatsiooni ava nr 7</t>
  </si>
  <si>
    <t>V7 (V33)</t>
  </si>
  <si>
    <t>HEIT0008448</t>
  </si>
  <si>
    <t>Valuteeküünla tsehhi liini GLIMMA ventilatsiooni ava nr 8</t>
  </si>
  <si>
    <t>V6 (V35)</t>
  </si>
  <si>
    <t>HEIT0001003</t>
  </si>
  <si>
    <t>Valuteeküünla tsehhi liini MAXI ventilatsiooni ava nr 10</t>
  </si>
  <si>
    <t>HEIT0008445</t>
  </si>
  <si>
    <t>Valuteeküünla tsehhi liini MAXI ventilatsiooni ava nr 11</t>
  </si>
  <si>
    <t>V3 (V31)</t>
  </si>
  <si>
    <t>HEIT0008446</t>
  </si>
  <si>
    <t>Valuteeküünla tsehhi liini MAXI ventilatsiooni ava nr 12</t>
  </si>
  <si>
    <t>V4 (V56)</t>
  </si>
  <si>
    <t>HEIT0008447</t>
  </si>
  <si>
    <t>Valuteeküünla tsehhi liini MAXI ventilatsiooni ava nr 13</t>
  </si>
  <si>
    <t>V5 (V34)</t>
  </si>
  <si>
    <t>Maagaasi põletiga</t>
  </si>
  <si>
    <t>MWth</t>
  </si>
  <si>
    <t>Pelletipõletiga</t>
  </si>
  <si>
    <t>Kasutegur, %</t>
  </si>
  <si>
    <t>Keskkonnaministri 05.11.2017 määrus nr 44 „Väljaspool tööstusheite seaduse reguleerimisala olevatest põletusseadmetest väljutatavate saasteainete heite piirväärtused, saasteainete heite seirenõuded ja heite piirväärtuste järgimise kriteeriumid” Lisa 1, tabel nr 1</t>
  </si>
  <si>
    <t>Saasteainete heite piirväärtused uutele keskmise võimsusega põletusseadmetele</t>
  </si>
  <si>
    <t>Gaaside mahtkiirus normaaltingimustel VmN (Nm3 /s) = Vm (m3 /s) · 273 (K) / gaaside temperatuur (K)</t>
  </si>
  <si>
    <t>Saasteaine kontsentratsioon (mg/Nm3 ) = saasteaine hetkeline heitkogus (g/s) / VmN (Nm3 /s) · 1000 (mg/g)</t>
  </si>
  <si>
    <t>Gaas</t>
  </si>
  <si>
    <t>g/s</t>
  </si>
  <si>
    <r>
      <t>V</t>
    </r>
    <r>
      <rPr>
        <sz val="8"/>
        <color theme="1"/>
        <rFont val="Calibri"/>
        <family val="2"/>
        <scheme val="minor"/>
      </rPr>
      <t>m</t>
    </r>
  </si>
  <si>
    <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/s</t>
    </r>
  </si>
  <si>
    <t>Temperatuur</t>
  </si>
  <si>
    <t>K</t>
  </si>
  <si>
    <r>
      <t>V</t>
    </r>
    <r>
      <rPr>
        <sz val="8"/>
        <color theme="1"/>
        <rFont val="Calibri"/>
        <family val="2"/>
        <scheme val="minor"/>
      </rPr>
      <t>mN</t>
    </r>
  </si>
  <si>
    <r>
      <t>Nm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/s</t>
    </r>
  </si>
  <si>
    <t>Kontsentratsioon</t>
  </si>
  <si>
    <r>
      <t>mg/Nm</t>
    </r>
    <r>
      <rPr>
        <sz val="11"/>
        <color theme="1"/>
        <rFont val="Calibri"/>
        <family val="2"/>
      </rPr>
      <t>³</t>
    </r>
  </si>
  <si>
    <t>Osakesed (50)</t>
  </si>
  <si>
    <t>NOx (100)</t>
  </si>
  <si>
    <t>NOx (500)</t>
  </si>
  <si>
    <t>108-88-3</t>
  </si>
  <si>
    <t>123-86-4</t>
  </si>
  <si>
    <t>67-64-1</t>
  </si>
  <si>
    <t>1760-24-3</t>
  </si>
  <si>
    <t>78-93-3</t>
  </si>
  <si>
    <t>78-93-93</t>
  </si>
  <si>
    <t>67-63-0</t>
  </si>
  <si>
    <t>V2, V3, V4, V5, V6, V7, V8, V9, V10, V11, V12, V13, V15, V16, V17</t>
  </si>
  <si>
    <t>V2, V3, V4, V5</t>
  </si>
  <si>
    <t>V9, V10, V11, V12, V13</t>
  </si>
  <si>
    <t>V16, V17</t>
  </si>
  <si>
    <t>V6, V7, V8</t>
  </si>
  <si>
    <t xml:space="preserve">V9, V10, V11, V12, V13 </t>
  </si>
  <si>
    <t>V2,V3, V4, V5, V6, V7, V8</t>
  </si>
  <si>
    <t>Lahusti</t>
  </si>
  <si>
    <t>Hermeetik</t>
  </si>
  <si>
    <t>Puhastusaine</t>
  </si>
  <si>
    <t>Aerosool</t>
  </si>
  <si>
    <t>Hoiustamine</t>
  </si>
  <si>
    <r>
      <t>Q – laadimiskäive vaadeldaval perioodil,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</t>
    </r>
  </si>
  <si>
    <t>t – päevade arv vaadeldaval perioodil;</t>
  </si>
  <si>
    <r>
      <t>W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aurude tihedus, 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 leitud käesoleva määruse § 3 lõike 3 arvutusvalemi kohaselt;</t>
    </r>
  </si>
  <si>
    <t>eff – heite vähendamismeetme efektiivsus (%), vähendamismeetme puudumise korral valemi osa väärtuseks arvestatakse 1</t>
  </si>
  <si>
    <t>eff – heite vähendamismeetme efektiivsus (%), vähendamismeetme puudumise korral valemi osa väärtuseks 1</t>
  </si>
  <si>
    <t>M – molekulmass, g/mol, täpsemate andmete puudumise korral kasutada käesoleva määruse lisas 1 esitatud andmeid;</t>
  </si>
  <si>
    <t>P – küllastunud aurude rõhk vastavalt naftasaaduse sertifikaadikohastele andmetele või nende puudumisel käesoleva määruse lisas 1 esitatule, kPa;</t>
  </si>
  <si>
    <t>0,0253 – teisendustegur SI ühikuteks;</t>
  </si>
  <si>
    <t>k – kütusemahuti keskmine täituvus protsentides. Kui täituvusprotsent ei ole teada, siis kasutada k väärtust 0,5 (mahuti täituvus 50%).</t>
  </si>
  <si>
    <t>Aromaatsed süsivesinikud</t>
  </si>
  <si>
    <t>Parafiin</t>
  </si>
  <si>
    <t>Tihedus</t>
  </si>
  <si>
    <t>Kõrgus</t>
  </si>
  <si>
    <r>
      <t>Aurude tihedus (W</t>
    </r>
    <r>
      <rPr>
        <b/>
        <vertAlign val="subscript"/>
        <sz val="10"/>
        <color rgb="FF202020"/>
        <rFont val="Calibri"/>
        <family val="2"/>
        <scheme val="minor"/>
      </rPr>
      <t>V</t>
    </r>
    <r>
      <rPr>
        <b/>
        <sz val="10"/>
        <color rgb="FF202020"/>
        <rFont val="Calibri"/>
        <family val="2"/>
        <scheme val="minor"/>
      </rPr>
      <t>) kilogrammides kuupmeetri kohta arvutatakse järgmist valemit kasutades:</t>
    </r>
  </si>
  <si>
    <t>Ettevõte</t>
  </si>
  <si>
    <t xml:space="preserve">Ava </t>
  </si>
  <si>
    <t>Joonkiirus</t>
  </si>
  <si>
    <t>Koordinaadid</t>
  </si>
  <si>
    <t>NO</t>
  </si>
  <si>
    <t>CO</t>
  </si>
  <si>
    <t>HEIT0008484</t>
  </si>
  <si>
    <t>HEIT0008481</t>
  </si>
  <si>
    <t>HEIT0008479</t>
  </si>
  <si>
    <t>HEIT0008486</t>
  </si>
  <si>
    <t>HEIT0008480</t>
  </si>
  <si>
    <t>HEIT0008487</t>
  </si>
  <si>
    <t>HEIT0008482</t>
  </si>
  <si>
    <t>HEIT0008483</t>
  </si>
  <si>
    <t>HEIT0005714</t>
  </si>
  <si>
    <t>HEIT0005715</t>
  </si>
  <si>
    <t>HEIT0006923</t>
  </si>
  <si>
    <t>HEIT0006921</t>
  </si>
  <si>
    <t>HEIT0006922</t>
  </si>
  <si>
    <t>HEIT0006854</t>
  </si>
  <si>
    <t>Naaber nr</t>
  </si>
  <si>
    <t>SO2</t>
  </si>
  <si>
    <t>n-Butüülatsetaat</t>
  </si>
  <si>
    <t>Aromaatsed</t>
  </si>
  <si>
    <t>kütusemahuti õhutusseade</t>
  </si>
  <si>
    <t>Viljandi Energiabaas OÜ</t>
  </si>
  <si>
    <t>6469475   592120</t>
  </si>
  <si>
    <t>autotsisternide tankla</t>
  </si>
  <si>
    <t>6469315   592125</t>
  </si>
  <si>
    <t>6469335   592140</t>
  </si>
  <si>
    <t>6469355   592150</t>
  </si>
  <si>
    <t>6469355   592320</t>
  </si>
  <si>
    <t>6469455   592340</t>
  </si>
  <si>
    <t>6469435   592305</t>
  </si>
  <si>
    <t>6469475   592305</t>
  </si>
  <si>
    <t>Värviruum</t>
  </si>
  <si>
    <t>VMT Tehased AS</t>
  </si>
  <si>
    <t>6469168   592356</t>
  </si>
  <si>
    <t>Katlamaja</t>
  </si>
  <si>
    <t>6469195   592342</t>
  </si>
  <si>
    <t>Söefilter</t>
  </si>
  <si>
    <t>Viljandi Aken ja Uks AS</t>
  </si>
  <si>
    <t>6469901   591916</t>
  </si>
  <si>
    <t>6469939   592023</t>
  </si>
  <si>
    <t>6469925   591986</t>
  </si>
  <si>
    <t>g/s (raskemetallid mg/s)</t>
  </si>
  <si>
    <t>Ventilatsioon</t>
  </si>
  <si>
    <t>6469959   591924</t>
  </si>
  <si>
    <t>KOKKU</t>
  </si>
  <si>
    <t>Kemikaali kogus heitallika lõikes</t>
  </si>
  <si>
    <t>Töötunnid heitallika lõikes</t>
  </si>
  <si>
    <t>h/a</t>
  </si>
  <si>
    <t>Kulu</t>
  </si>
  <si>
    <t>Raskemetallid mg/s ja kg/a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</si>
  <si>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</si>
  <si>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</si>
  <si>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</si>
  <si>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</si>
  <si>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</si>
  <si>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</si>
  <si>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</si>
  <si>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</si>
  <si>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</si>
  <si>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</si>
  <si>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Lenduvad orgaanilised ühendid (välja arvatud metaan)</t>
  </si>
  <si>
    <t>124-38-9-bio</t>
  </si>
  <si>
    <t>V13</t>
  </si>
  <si>
    <t>Hansa Candle AS kokku</t>
  </si>
  <si>
    <t>h</t>
  </si>
  <si>
    <t>V2=V3=V4=V5</t>
  </si>
  <si>
    <t>V6=V7=V8</t>
  </si>
  <si>
    <t>V9=V10=V11=V12=V13</t>
  </si>
  <si>
    <t>V16=V17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</si>
  <si>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</si>
  <si>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</si>
  <si>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</si>
  <si>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</si>
  <si>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</si>
  <si>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</si>
  <si>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</si>
  <si>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</si>
  <si>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</si>
  <si>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</si>
  <si>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</si>
  <si>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</si>
  <si>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</si>
  <si>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</si>
  <si>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Kogus, m3/a</t>
  </si>
  <si>
    <t>Aurude tihedus, kg/m3</t>
  </si>
  <si>
    <t>Heite vähendamismeetme efektiivsus (%)</t>
  </si>
  <si>
    <t>Õhutusava läbimõõt, m</t>
  </si>
  <si>
    <t>Laadimiskiirus, m3/h</t>
  </si>
  <si>
    <t>Laadimiskiirus, m3/s</t>
  </si>
  <si>
    <t>Joonkiirus m/s</t>
  </si>
  <si>
    <t>Pumpamise aeg, h</t>
  </si>
  <si>
    <t>LOÜ, g/s</t>
  </si>
  <si>
    <t>LOÜ, t/a</t>
  </si>
  <si>
    <t>Aromaatsed süsivesinikud, g/s</t>
  </si>
  <si>
    <t>Aromaatsed süsivesinikud, t/a</t>
  </si>
  <si>
    <t>Q</t>
  </si>
  <si>
    <t>Wv</t>
  </si>
  <si>
    <t>eff</t>
  </si>
  <si>
    <t>Lw</t>
  </si>
  <si>
    <t>§4 Naftasaaduste ja põlevkiviõli laadimisel mahutitest välisõhku väljutatavate LOÜ heitkoguste määramine</t>
  </si>
  <si>
    <r>
      <t>Põlevkiviõli laadimisel mahutite täitmisest välisõhku väljutatavate lenduvate orgaaniliste ühendite heitkogus (L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 kilogrammides arvutatakse järgmist valemit kasutades:</t>
    </r>
  </si>
  <si>
    <t>§ 8.   Naftasaaduste ja põlevkiviõli laadimisel ja soojustamata mahutite hingamisel välisõhku väljutatavate aromaatsete süsivesinike heitkoguste määramine</t>
  </si>
  <si>
    <t>  (1) Naftasaaduste ja põlevkiviõli laadimisel ning soojustamata mahutite hingamisel välisõhku väljutatavate aromaatsete süsivesinike summaarse heitkoguse määramiseks täpsemate andmete puudumise korral korrutatakse arvutatud lenduvate orgaaniliste ühendite summaarne heitkogus koefitsiendiga 0,03.</t>
  </si>
  <si>
    <t>Kogus</t>
  </si>
  <si>
    <t>Materjal</t>
  </si>
  <si>
    <t>Maht, m³</t>
  </si>
  <si>
    <t>Kogus m3/a</t>
  </si>
  <si>
    <t>Teisendus tegur</t>
  </si>
  <si>
    <t>Päevade arv perioodil</t>
  </si>
  <si>
    <t>Molekulmass, g/mol</t>
  </si>
  <si>
    <t>Küllastunud aurude rõhk, kPa</t>
  </si>
  <si>
    <t xml:space="preserve">Aurude tihedus kg/m3 </t>
  </si>
  <si>
    <t>Ideaalgaasi konstant, m3 Pa/mol K;</t>
  </si>
  <si>
    <t>Aurude keskmine temperatuur, °K</t>
  </si>
  <si>
    <t>Ventileeritud auru küllastumistegur</t>
  </si>
  <si>
    <t>Teisendustegur SI ühikuteks</t>
  </si>
  <si>
    <t>Kütusemahuti aururuumi maht, m3</t>
  </si>
  <si>
    <t>Aururuumi paisumistegur</t>
  </si>
  <si>
    <t>Heite vähendamismeetme efektiivsus, %</t>
  </si>
  <si>
    <t>Kütusemahuti diameeter, m</t>
  </si>
  <si>
    <t>Kütusemahuti kõrgus, m</t>
  </si>
  <si>
    <t>Kütusemahuti keskmine täituvus %</t>
  </si>
  <si>
    <t>Lenduvad orgaanilised ühendid, kg/a</t>
  </si>
  <si>
    <t>Tundi aastas</t>
  </si>
  <si>
    <t>Aromaatsete süsivesinike leidmise koefitsent</t>
  </si>
  <si>
    <t>Lenduvad orgaanilised ühendid, g/s</t>
  </si>
  <si>
    <t>Lenduvad orgaanilised ühendid, t/a</t>
  </si>
  <si>
    <t>t</t>
  </si>
  <si>
    <t>M</t>
  </si>
  <si>
    <t>P</t>
  </si>
  <si>
    <t>Tv</t>
  </si>
  <si>
    <t>Ks</t>
  </si>
  <si>
    <t>Vv</t>
  </si>
  <si>
    <t>Ke</t>
  </si>
  <si>
    <t>D</t>
  </si>
  <si>
    <t>Hs</t>
  </si>
  <si>
    <t>k</t>
  </si>
  <si>
    <t>Ls</t>
  </si>
  <si>
    <r>
      <t>§ 3. </t>
    </r>
    <r>
      <rPr>
        <b/>
        <sz val="10"/>
        <color rgb="FF0061AA"/>
        <rFont val="Calibri"/>
        <family val="2"/>
        <scheme val="minor"/>
      </rPr>
      <t>  </t>
    </r>
    <r>
      <rPr>
        <b/>
        <sz val="10"/>
        <color rgb="FF000000"/>
        <rFont val="Calibri"/>
        <family val="2"/>
        <scheme val="minor"/>
      </rPr>
      <t>Naftasaaduste ja põlevkiviõli hoiustamisel soojustamata mahutite hingamisel välisõhku väljutatavate lenduvate orgaaniliste ühendite heitkoguste määramine</t>
    </r>
  </si>
  <si>
    <r>
      <t>V</t>
    </r>
    <r>
      <rPr>
        <vertAlign val="subscript"/>
        <sz val="10"/>
        <color theme="1"/>
        <rFont val="Calibri"/>
        <family val="2"/>
        <scheme val="minor"/>
      </rPr>
      <t>V</t>
    </r>
    <r>
      <rPr>
        <sz val="10"/>
        <color theme="1"/>
        <rFont val="Calibri"/>
        <family val="2"/>
        <scheme val="minor"/>
      </rPr>
      <t> – kütusemahuti aururuumi maht,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;</t>
    </r>
  </si>
  <si>
    <r>
      <t>W</t>
    </r>
    <r>
      <rPr>
        <vertAlign val="subscript"/>
        <sz val="10"/>
        <color theme="1"/>
        <rFont val="Calibri"/>
        <family val="2"/>
        <scheme val="minor"/>
      </rPr>
      <t>V</t>
    </r>
    <r>
      <rPr>
        <sz val="10"/>
        <color theme="1"/>
        <rFont val="Calibri"/>
        <family val="2"/>
        <scheme val="minor"/>
      </rPr>
      <t> – aurude tihedus, kg/m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;</t>
    </r>
  </si>
  <si>
    <r>
      <t>K</t>
    </r>
    <r>
      <rPr>
        <vertAlign val="sub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> – aururuumi paisumistegur, käesoleva määruse lisas 2 esitatu kohaselt;</t>
    </r>
  </si>
  <si>
    <r>
      <t>K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 – ventileeritud aurude küllastumistegur;</t>
    </r>
  </si>
  <si>
    <r>
      <t>8,314 – ideaalgaasi konstant,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 Pa/mol K;</t>
    </r>
  </si>
  <si>
    <r>
      <t>T</t>
    </r>
    <r>
      <rPr>
        <vertAlign val="subscript"/>
        <sz val="10"/>
        <color theme="1"/>
        <rFont val="Calibri"/>
        <family val="2"/>
        <scheme val="minor"/>
      </rPr>
      <t>V</t>
    </r>
    <r>
      <rPr>
        <sz val="10"/>
        <color theme="1"/>
        <rFont val="Calibri"/>
        <family val="2"/>
        <scheme val="minor"/>
      </rPr>
      <t> – aurude keskmine temperatuur, °K, täpsemate andmete puudumise korral kasutada käesoleva määruse lisas 2 esitatud andmeid.</t>
    </r>
  </si>
  <si>
    <r>
      <t>Ventileeritud auru küllastumistegur (K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) arvutatakse järgmist valemit kasutades:</t>
    </r>
  </si>
  <si>
    <r>
      <t>K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 = 1 / (1 + (0,0253 × P × (H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 – (H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 × k)))), kus</t>
    </r>
  </si>
  <si>
    <r>
      <t>H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 – kütusemahuti kõrgus, m;</t>
    </r>
  </si>
  <si>
    <t>Hoiustatav materjal</t>
  </si>
  <si>
    <t>Konteiner</t>
  </si>
  <si>
    <t>Horisontaalne</t>
  </si>
  <si>
    <t>Parafiini tihedus</t>
  </si>
  <si>
    <t>kg/m3</t>
  </si>
  <si>
    <t>Nr.</t>
  </si>
  <si>
    <t>Parafini jaotus mahutite lõikes</t>
  </si>
  <si>
    <t>Terasest mahuti</t>
  </si>
  <si>
    <t>Laadimine autotranspordilt mahutitesse (laaditakse ühte mahutit korraga)</t>
  </si>
  <si>
    <t>t/m3</t>
  </si>
  <si>
    <r>
      <t>С</t>
    </r>
    <r>
      <rPr>
        <vertAlign val="subscript"/>
        <sz val="11"/>
        <color rgb="FF202122"/>
        <rFont val="Arial"/>
        <family val="2"/>
      </rPr>
      <t>18</t>
    </r>
    <r>
      <rPr>
        <sz val="11"/>
        <color rgb="FF202122"/>
        <rFont val="Arial"/>
        <family val="2"/>
      </rPr>
      <t>Н</t>
    </r>
    <r>
      <rPr>
        <vertAlign val="subscript"/>
        <sz val="11"/>
        <color rgb="FF202122"/>
        <rFont val="Arial"/>
        <family val="2"/>
      </rPr>
      <t>38</t>
    </r>
  </si>
  <si>
    <t>https://www.chemicalbook.com/ProductList_En.aspx?kwd=593-45-3</t>
  </si>
  <si>
    <t>Parafiini hoiustamise aeg</t>
  </si>
  <si>
    <t>päevade arv</t>
  </si>
  <si>
    <t>1. Täida kollased lahtrid kvartalis kasutatud  kogustega.</t>
  </si>
  <si>
    <t>Ära teistel (peidetud) töölehtedel andmeid muuda kui ei ole täiesti kindel, et neid muuta tahad.</t>
  </si>
  <si>
    <t>Kui kütuse kogus on "0", siis jäta lahter tuhjaks, aga ära rida ära kustuta</t>
  </si>
  <si>
    <t>2. Seejärel sisesta allolevast tabelist (sinistest lahtritest) saasteainete kvartali kogused Keskkonnaameti Kotkas süsteemis</t>
  </si>
  <si>
    <t xml:space="preserve">päevade arv </t>
  </si>
  <si>
    <t>Maksimaalne kogus aastas</t>
  </si>
  <si>
    <t>Kogus, t/kv</t>
  </si>
  <si>
    <t>Maksimaalne lubatud aastas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</si>
</sst>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  <numFmt numFmtId="168" formatCode="_-* #,##0.00\ _k_r_-;\-* #,##0.00\ _k_r_-;_-* &quot;-&quot;??\ _k_r_-;_-@_-"/>
    <numFmt numFmtId="169" formatCode="0.0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Arial"/>
      <family val="1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11"/>
      <color rgb="FF333333"/>
      <name val="Arial"/>
      <family val="2"/>
    </font>
    <font>
      <b/>
      <sz val="1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</font>
    <font>
      <u/>
      <sz val="10"/>
      <color theme="10"/>
      <name val="Calibri"/>
      <family val="2"/>
      <charset val="186"/>
      <scheme val="minor"/>
    </font>
    <font>
      <sz val="10"/>
      <color rgb="FF333333"/>
      <name val="Arial"/>
      <family val="2"/>
    </font>
    <font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202020"/>
      <name val="Calibri"/>
      <family val="2"/>
      <scheme val="minor"/>
    </font>
    <font>
      <b/>
      <vertAlign val="subscript"/>
      <sz val="10"/>
      <color rgb="FF202020"/>
      <name val="Calibri"/>
      <family val="2"/>
      <scheme val="minor"/>
    </font>
    <font>
      <b/>
      <sz val="10"/>
      <color rgb="FF0061AA"/>
      <name val="Calibri"/>
      <family val="2"/>
      <scheme val="minor"/>
    </font>
    <font>
      <b/>
      <sz val="11"/>
      <color rgb="FF20202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color rgb="FF333333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rgb="FF202020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20202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202122"/>
      <name val="Arial"/>
      <family val="2"/>
    </font>
    <font>
      <vertAlign val="subscript"/>
      <sz val="11"/>
      <color rgb="FF202122"/>
      <name val="Arial"/>
      <family val="2"/>
    </font>
    <font>
      <b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0" borderId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23" fillId="0" borderId="0"/>
    <xf numFmtId="0" fontId="1" fillId="0" borderId="0"/>
    <xf numFmtId="0" fontId="40" fillId="0" borderId="0"/>
    <xf numFmtId="0" fontId="1" fillId="0" borderId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537">
    <xf numFmtId="0" fontId="0" fillId="0" borderId="0" xfId="0"/>
    <xf numFmtId="0" fontId="0" fillId="0" borderId="1" xfId="0" applyBorder="1"/>
    <xf numFmtId="0" fontId="1" fillId="0" borderId="0" xfId="1" applyFont="1" applyAlignment="1">
      <alignment horizontal="center" vertical="center"/>
    </xf>
    <xf numFmtId="2" fontId="1" fillId="0" borderId="0" xfId="1" applyNumberFormat="1" applyFont="1" applyBorder="1" applyAlignment="1">
      <alignment horizontal="center" vertical="center"/>
    </xf>
    <xf numFmtId="0" fontId="1" fillId="0" borderId="6" xfId="1" applyFont="1" applyFill="1" applyBorder="1" applyAlignment="1">
      <alignment horizontal="center"/>
    </xf>
    <xf numFmtId="0" fontId="6" fillId="0" borderId="7" xfId="3" applyFont="1" applyBorder="1"/>
    <xf numFmtId="0" fontId="1" fillId="0" borderId="7" xfId="0" applyFont="1" applyBorder="1"/>
    <xf numFmtId="0" fontId="1" fillId="0" borderId="1" xfId="0" applyFont="1" applyFill="1" applyBorder="1"/>
    <xf numFmtId="164" fontId="1" fillId="0" borderId="1" xfId="1" applyNumberFormat="1" applyFont="1" applyFill="1" applyBorder="1"/>
    <xf numFmtId="2" fontId="1" fillId="0" borderId="1" xfId="0" applyNumberFormat="1" applyFont="1" applyFill="1" applyBorder="1"/>
    <xf numFmtId="165" fontId="1" fillId="0" borderId="6" xfId="1" applyNumberFormat="1" applyFont="1" applyFill="1" applyBorder="1"/>
    <xf numFmtId="2" fontId="1" fillId="0" borderId="8" xfId="1" applyNumberFormat="1" applyFont="1" applyFill="1" applyBorder="1"/>
    <xf numFmtId="165" fontId="1" fillId="0" borderId="1" xfId="1" applyNumberFormat="1" applyFont="1" applyFill="1" applyBorder="1"/>
    <xf numFmtId="0" fontId="1" fillId="0" borderId="1" xfId="0" applyFont="1" applyFill="1" applyBorder="1" applyAlignment="1">
      <alignment horizontal="right"/>
    </xf>
    <xf numFmtId="1" fontId="1" fillId="0" borderId="6" xfId="1" applyNumberFormat="1" applyFont="1" applyFill="1" applyBorder="1"/>
    <xf numFmtId="166" fontId="1" fillId="0" borderId="10" xfId="1" applyNumberFormat="1" applyFont="1" applyFill="1" applyBorder="1"/>
    <xf numFmtId="0" fontId="1" fillId="0" borderId="1" xfId="1" applyFont="1" applyFill="1" applyBorder="1"/>
    <xf numFmtId="165" fontId="1" fillId="0" borderId="0" xfId="1" applyNumberFormat="1" applyFont="1" applyFill="1"/>
    <xf numFmtId="0" fontId="1" fillId="0" borderId="0" xfId="1" applyFont="1"/>
    <xf numFmtId="166" fontId="1" fillId="0" borderId="4" xfId="1" applyNumberFormat="1" applyFont="1" applyFill="1" applyBorder="1"/>
    <xf numFmtId="2" fontId="1" fillId="0" borderId="11" xfId="1" applyNumberFormat="1" applyFont="1" applyFill="1" applyBorder="1"/>
    <xf numFmtId="0" fontId="6" fillId="0" borderId="1" xfId="3" applyFont="1" applyBorder="1"/>
    <xf numFmtId="2" fontId="1" fillId="0" borderId="1" xfId="1" applyNumberFormat="1" applyFont="1" applyFill="1" applyBorder="1"/>
    <xf numFmtId="2" fontId="1" fillId="0" borderId="4" xfId="1" applyNumberFormat="1" applyFont="1" applyFill="1" applyBorder="1"/>
    <xf numFmtId="0" fontId="1" fillId="0" borderId="0" xfId="1" applyFont="1" applyFill="1"/>
    <xf numFmtId="0" fontId="6" fillId="0" borderId="1" xfId="0" applyFont="1" applyFill="1" applyBorder="1"/>
    <xf numFmtId="0" fontId="6" fillId="0" borderId="1" xfId="0" applyFont="1" applyBorder="1"/>
    <xf numFmtId="165" fontId="1" fillId="0" borderId="0" xfId="1" applyNumberFormat="1" applyFont="1"/>
    <xf numFmtId="166" fontId="1" fillId="0" borderId="0" xfId="1" applyNumberFormat="1" applyFont="1" applyFill="1"/>
    <xf numFmtId="2" fontId="1" fillId="0" borderId="5" xfId="1" applyNumberFormat="1" applyFont="1" applyFill="1" applyBorder="1"/>
    <xf numFmtId="0" fontId="2" fillId="0" borderId="14" xfId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wrapText="1"/>
    </xf>
    <xf numFmtId="0" fontId="2" fillId="0" borderId="1" xfId="1" applyFont="1" applyFill="1" applyBorder="1"/>
    <xf numFmtId="165" fontId="2" fillId="0" borderId="1" xfId="1" applyNumberFormat="1" applyFont="1" applyFill="1" applyBorder="1"/>
    <xf numFmtId="0" fontId="2" fillId="0" borderId="1" xfId="1" applyFont="1" applyFill="1" applyBorder="1" applyAlignment="1">
      <alignment horizontal="center"/>
    </xf>
    <xf numFmtId="1" fontId="2" fillId="0" borderId="1" xfId="1" applyNumberFormat="1" applyFont="1" applyFill="1" applyBorder="1"/>
    <xf numFmtId="0" fontId="1" fillId="0" borderId="0" xfId="1" applyFont="1" applyAlignment="1">
      <alignment horizontal="center"/>
    </xf>
    <xf numFmtId="2" fontId="1" fillId="0" borderId="0" xfId="1" applyNumberFormat="1" applyFont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165" fontId="1" fillId="0" borderId="0" xfId="1" applyNumberFormat="1" applyFont="1" applyBorder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0" fillId="0" borderId="0" xfId="1" applyFont="1" applyFill="1"/>
    <xf numFmtId="0" fontId="11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/>
    <xf numFmtId="0" fontId="13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167" fontId="11" fillId="0" borderId="0" xfId="1" applyNumberFormat="1" applyFont="1" applyBorder="1"/>
    <xf numFmtId="0" fontId="13" fillId="0" borderId="0" xfId="1" applyFont="1"/>
    <xf numFmtId="0" fontId="10" fillId="0" borderId="2" xfId="1" applyFont="1" applyBorder="1" applyAlignment="1">
      <alignment horizontal="center" vertical="center"/>
    </xf>
    <xf numFmtId="0" fontId="6" fillId="0" borderId="0" xfId="0" applyFont="1"/>
    <xf numFmtId="165" fontId="11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 vertical="center"/>
    </xf>
    <xf numFmtId="167" fontId="13" fillId="0" borderId="0" xfId="1" applyNumberFormat="1" applyFont="1"/>
    <xf numFmtId="165" fontId="13" fillId="0" borderId="0" xfId="1" applyNumberFormat="1" applyFont="1"/>
    <xf numFmtId="0" fontId="11" fillId="0" borderId="15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1" fillId="0" borderId="0" xfId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7" fontId="11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 vertical="center"/>
    </xf>
    <xf numFmtId="0" fontId="3" fillId="0" borderId="0" xfId="1" applyAlignment="1">
      <alignment horizontal="left" wrapText="1"/>
    </xf>
    <xf numFmtId="165" fontId="15" fillId="0" borderId="0" xfId="1" applyNumberFormat="1" applyFont="1" applyAlignment="1">
      <alignment horizontal="center" vertical="center"/>
    </xf>
    <xf numFmtId="167" fontId="11" fillId="0" borderId="0" xfId="1" applyNumberFormat="1" applyFont="1"/>
    <xf numFmtId="0" fontId="3" fillId="0" borderId="0" xfId="1" applyAlignment="1">
      <alignment horizontal="left"/>
    </xf>
    <xf numFmtId="167" fontId="11" fillId="0" borderId="0" xfId="1" applyNumberFormat="1" applyFont="1" applyAlignment="1">
      <alignment horizontal="right"/>
    </xf>
    <xf numFmtId="167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0" fillId="2" borderId="2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wrapText="1"/>
    </xf>
    <xf numFmtId="0" fontId="12" fillId="2" borderId="2" xfId="1" applyFont="1" applyFill="1" applyBorder="1" applyAlignment="1">
      <alignment horizontal="center" vertical="center" wrapText="1"/>
    </xf>
    <xf numFmtId="0" fontId="11" fillId="0" borderId="1" xfId="1" applyFont="1" applyBorder="1"/>
    <xf numFmtId="0" fontId="0" fillId="3" borderId="0" xfId="0" applyFill="1"/>
    <xf numFmtId="0" fontId="0" fillId="0" borderId="0" xfId="0" applyFill="1"/>
    <xf numFmtId="0" fontId="5" fillId="0" borderId="0" xfId="3"/>
    <xf numFmtId="0" fontId="16" fillId="4" borderId="0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6" borderId="0" xfId="0" applyFill="1"/>
    <xf numFmtId="0" fontId="0" fillId="3" borderId="1" xfId="0" applyFill="1" applyBorder="1"/>
    <xf numFmtId="0" fontId="2" fillId="2" borderId="16" xfId="4" applyFont="1" applyFill="1" applyBorder="1" applyAlignment="1">
      <alignment vertical="center"/>
    </xf>
    <xf numFmtId="0" fontId="2" fillId="2" borderId="21" xfId="4" applyFont="1" applyFill="1" applyBorder="1" applyAlignment="1">
      <alignment vertical="center"/>
    </xf>
    <xf numFmtId="0" fontId="2" fillId="2" borderId="17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1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165" fontId="1" fillId="0" borderId="1" xfId="4" applyNumberFormat="1" applyFont="1" applyFill="1" applyBorder="1" applyAlignment="1">
      <alignment horizontal="center" vertical="center"/>
    </xf>
    <xf numFmtId="2" fontId="1" fillId="0" borderId="1" xfId="4" applyNumberFormat="1" applyFont="1" applyFill="1" applyBorder="1" applyAlignment="1">
      <alignment horizontal="center" vertical="center" wrapText="1"/>
    </xf>
    <xf numFmtId="165" fontId="1" fillId="0" borderId="0" xfId="4" applyNumberFormat="1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 wrapText="1"/>
    </xf>
    <xf numFmtId="167" fontId="18" fillId="0" borderId="1" xfId="0" applyNumberFormat="1" applyFont="1" applyFill="1" applyBorder="1" applyAlignment="1">
      <alignment horizontal="right" vertical="center" wrapText="1"/>
    </xf>
    <xf numFmtId="167" fontId="6" fillId="0" borderId="1" xfId="4" applyNumberFormat="1" applyFont="1" applyFill="1" applyBorder="1" applyAlignment="1">
      <alignment horizontal="right" vertical="center" wrapText="1"/>
    </xf>
    <xf numFmtId="165" fontId="18" fillId="0" borderId="1" xfId="4" applyNumberFormat="1" applyFont="1" applyFill="1" applyBorder="1" applyAlignment="1">
      <alignment horizontal="right" vertical="center" wrapText="1"/>
    </xf>
    <xf numFmtId="165" fontId="18" fillId="0" borderId="0" xfId="4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/>
    <xf numFmtId="0" fontId="0" fillId="0" borderId="0" xfId="0" applyFont="1" applyFill="1"/>
    <xf numFmtId="0" fontId="18" fillId="0" borderId="1" xfId="4" applyFont="1" applyFill="1" applyBorder="1" applyAlignment="1">
      <alignment horizontal="center" vertical="center"/>
    </xf>
    <xf numFmtId="167" fontId="18" fillId="0" borderId="1" xfId="5" applyNumberFormat="1" applyFont="1" applyFill="1" applyBorder="1" applyAlignment="1">
      <alignment horizontal="right" vertical="center" wrapText="1"/>
    </xf>
    <xf numFmtId="165" fontId="6" fillId="0" borderId="1" xfId="4" applyNumberFormat="1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18" fillId="0" borderId="0" xfId="4" applyNumberFormat="1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right" vertical="center"/>
    </xf>
    <xf numFmtId="167" fontId="0" fillId="0" borderId="1" xfId="4" applyNumberFormat="1" applyFont="1" applyFill="1" applyBorder="1" applyAlignment="1">
      <alignment horizontal="right" vertical="center"/>
    </xf>
    <xf numFmtId="165" fontId="0" fillId="0" borderId="1" xfId="4" applyNumberFormat="1" applyFont="1" applyFill="1" applyBorder="1" applyAlignment="1">
      <alignment horizontal="right" vertical="center"/>
    </xf>
    <xf numFmtId="0" fontId="0" fillId="0" borderId="0" xfId="4" applyFont="1" applyFill="1" applyAlignment="1">
      <alignment horizontal="right" vertical="center"/>
    </xf>
    <xf numFmtId="0" fontId="0" fillId="0" borderId="0" xfId="4" applyFont="1" applyFill="1" applyBorder="1" applyAlignment="1">
      <alignment horizontal="right" vertical="center"/>
    </xf>
    <xf numFmtId="165" fontId="0" fillId="0" borderId="1" xfId="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5" fillId="0" borderId="23" xfId="0" applyFont="1" applyFill="1" applyBorder="1"/>
    <xf numFmtId="0" fontId="0" fillId="0" borderId="23" xfId="0" applyFill="1" applyBorder="1"/>
    <xf numFmtId="0" fontId="0" fillId="0" borderId="23" xfId="0" applyBorder="1"/>
    <xf numFmtId="165" fontId="0" fillId="0" borderId="23" xfId="0" applyNumberFormat="1" applyBorder="1"/>
    <xf numFmtId="0" fontId="6" fillId="0" borderId="23" xfId="0" applyFont="1" applyBorder="1"/>
    <xf numFmtId="0" fontId="1" fillId="0" borderId="24" xfId="0" applyFont="1" applyBorder="1"/>
    <xf numFmtId="0" fontId="0" fillId="0" borderId="25" xfId="0" applyBorder="1"/>
    <xf numFmtId="0" fontId="1" fillId="0" borderId="26" xfId="0" applyFont="1" applyBorder="1"/>
    <xf numFmtId="167" fontId="0" fillId="0" borderId="0" xfId="0" applyNumberFormat="1"/>
    <xf numFmtId="0" fontId="26" fillId="0" borderId="0" xfId="0" applyFont="1"/>
    <xf numFmtId="0" fontId="0" fillId="0" borderId="27" xfId="0" applyBorder="1"/>
    <xf numFmtId="0" fontId="0" fillId="0" borderId="28" xfId="0" applyBorder="1"/>
    <xf numFmtId="0" fontId="6" fillId="0" borderId="28" xfId="0" applyFont="1" applyBorder="1"/>
    <xf numFmtId="0" fontId="1" fillId="0" borderId="29" xfId="0" applyFont="1" applyBorder="1"/>
    <xf numFmtId="0" fontId="1" fillId="0" borderId="0" xfId="0" applyFont="1"/>
    <xf numFmtId="1" fontId="1" fillId="3" borderId="1" xfId="4" applyNumberFormat="1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/>
    </xf>
    <xf numFmtId="0" fontId="1" fillId="0" borderId="1" xfId="4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165" fontId="1" fillId="0" borderId="1" xfId="4" applyNumberFormat="1" applyBorder="1" applyAlignment="1">
      <alignment horizontal="center" vertical="center"/>
    </xf>
    <xf numFmtId="0" fontId="1" fillId="0" borderId="1" xfId="4" applyFill="1" applyBorder="1" applyAlignment="1">
      <alignment horizontal="center" vertical="center"/>
    </xf>
    <xf numFmtId="0" fontId="1" fillId="0" borderId="1" xfId="13" applyBorder="1" applyAlignment="1">
      <alignment horizontal="center"/>
    </xf>
    <xf numFmtId="0" fontId="1" fillId="0" borderId="1" xfId="13" applyBorder="1" applyAlignment="1">
      <alignment horizontal="center" vertical="center"/>
    </xf>
    <xf numFmtId="167" fontId="18" fillId="0" borderId="1" xfId="4" applyNumberFormat="1" applyFont="1" applyFill="1" applyBorder="1" applyAlignment="1">
      <alignment horizontal="right" vertical="center" wrapText="1"/>
    </xf>
    <xf numFmtId="0" fontId="1" fillId="0" borderId="0" xfId="13"/>
    <xf numFmtId="0" fontId="2" fillId="0" borderId="0" xfId="13" applyFont="1"/>
    <xf numFmtId="0" fontId="1" fillId="0" borderId="0" xfId="13" applyBorder="1" applyAlignment="1">
      <alignment horizontal="center" vertical="center"/>
    </xf>
    <xf numFmtId="0" fontId="0" fillId="0" borderId="1" xfId="0" applyFont="1" applyFill="1" applyBorder="1"/>
    <xf numFmtId="165" fontId="0" fillId="0" borderId="1" xfId="0" applyNumberFormat="1" applyFont="1" applyFill="1" applyBorder="1"/>
    <xf numFmtId="167" fontId="0" fillId="0" borderId="1" xfId="0" applyNumberFormat="1" applyFont="1" applyFill="1" applyBorder="1"/>
    <xf numFmtId="0" fontId="0" fillId="0" borderId="7" xfId="4" applyFont="1" applyFill="1" applyBorder="1" applyAlignment="1">
      <alignment horizontal="right" vertical="center"/>
    </xf>
    <xf numFmtId="0" fontId="24" fillId="2" borderId="22" xfId="0" applyFont="1" applyFill="1" applyBorder="1"/>
    <xf numFmtId="0" fontId="0" fillId="8" borderId="28" xfId="0" applyFill="1" applyBorder="1"/>
    <xf numFmtId="165" fontId="0" fillId="8" borderId="28" xfId="0" applyNumberFormat="1" applyFill="1" applyBorder="1"/>
    <xf numFmtId="167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167" fontId="0" fillId="9" borderId="1" xfId="0" applyNumberFormat="1" applyFont="1" applyFill="1" applyBorder="1"/>
    <xf numFmtId="165" fontId="0" fillId="9" borderId="1" xfId="0" applyNumberFormat="1" applyFont="1" applyFill="1" applyBorder="1"/>
    <xf numFmtId="0" fontId="0" fillId="9" borderId="1" xfId="4" applyFont="1" applyFill="1" applyBorder="1" applyAlignment="1">
      <alignment horizontal="center" vertical="center"/>
    </xf>
    <xf numFmtId="0" fontId="18" fillId="9" borderId="1" xfId="4" applyFont="1" applyFill="1" applyBorder="1" applyAlignment="1">
      <alignment horizontal="left" vertical="center" wrapText="1"/>
    </xf>
    <xf numFmtId="49" fontId="0" fillId="9" borderId="1" xfId="4" applyNumberFormat="1" applyFont="1" applyFill="1" applyBorder="1" applyAlignment="1">
      <alignment horizontal="center" vertical="center"/>
    </xf>
    <xf numFmtId="49" fontId="0" fillId="9" borderId="1" xfId="4" applyNumberFormat="1" applyFont="1" applyFill="1" applyBorder="1" applyAlignment="1">
      <alignment horizontal="center" vertical="center" wrapText="1"/>
    </xf>
    <xf numFmtId="0" fontId="6" fillId="9" borderId="1" xfId="4" applyFont="1" applyFill="1" applyBorder="1" applyAlignment="1">
      <alignment horizontal="center" vertical="center"/>
    </xf>
    <xf numFmtId="0" fontId="6" fillId="9" borderId="1" xfId="4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/>
    <xf numFmtId="0" fontId="15" fillId="9" borderId="1" xfId="13" applyFont="1" applyFill="1" applyBorder="1"/>
    <xf numFmtId="0" fontId="1" fillId="0" borderId="0" xfId="4" applyFill="1" applyBorder="1" applyAlignment="1">
      <alignment horizontal="center" vertical="center"/>
    </xf>
    <xf numFmtId="0" fontId="1" fillId="0" borderId="0" xfId="13" applyBorder="1" applyAlignment="1">
      <alignment horizontal="center"/>
    </xf>
    <xf numFmtId="0" fontId="11" fillId="0" borderId="1" xfId="1" applyFont="1" applyBorder="1" applyAlignment="1">
      <alignment vertical="center"/>
    </xf>
    <xf numFmtId="0" fontId="27" fillId="4" borderId="1" xfId="3" applyFont="1" applyFill="1" applyBorder="1" applyAlignment="1">
      <alignment vertical="center" wrapText="1"/>
    </xf>
    <xf numFmtId="0" fontId="28" fillId="4" borderId="1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14" fillId="0" borderId="0" xfId="0" applyFon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5" fontId="1" fillId="3" borderId="1" xfId="4" applyNumberFormat="1" applyFont="1" applyFill="1" applyBorder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167" fontId="6" fillId="0" borderId="1" xfId="13" applyNumberFormat="1" applyFont="1" applyFill="1" applyBorder="1" applyAlignment="1">
      <alignment horizontal="center" vertical="center" wrapText="1"/>
    </xf>
    <xf numFmtId="167" fontId="6" fillId="7" borderId="1" xfId="13" applyNumberFormat="1" applyFont="1" applyFill="1" applyBorder="1" applyAlignment="1">
      <alignment horizontal="center" vertical="center"/>
    </xf>
    <xf numFmtId="167" fontId="6" fillId="0" borderId="1" xfId="13" applyNumberFormat="1" applyFont="1" applyBorder="1" applyAlignment="1">
      <alignment horizontal="center" vertical="center"/>
    </xf>
    <xf numFmtId="0" fontId="6" fillId="0" borderId="0" xfId="13" applyFont="1" applyBorder="1" applyAlignment="1">
      <alignment horizontal="center" vertical="center"/>
    </xf>
    <xf numFmtId="0" fontId="6" fillId="0" borderId="0" xfId="13" applyFont="1"/>
    <xf numFmtId="0" fontId="6" fillId="0" borderId="1" xfId="13" applyFont="1" applyBorder="1" applyAlignment="1">
      <alignment horizontal="center"/>
    </xf>
    <xf numFmtId="0" fontId="6" fillId="0" borderId="0" xfId="0" applyFont="1" applyFill="1" applyBorder="1"/>
    <xf numFmtId="0" fontId="2" fillId="2" borderId="0" xfId="4" applyFont="1" applyFill="1" applyBorder="1" applyAlignment="1">
      <alignment horizontal="center" vertical="center"/>
    </xf>
    <xf numFmtId="165" fontId="0" fillId="0" borderId="0" xfId="4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65" fontId="0" fillId="3" borderId="1" xfId="0" applyNumberFormat="1" applyFill="1" applyBorder="1"/>
    <xf numFmtId="0" fontId="31" fillId="0" borderId="1" xfId="0" applyFont="1" applyBorder="1" applyAlignment="1">
      <alignment horizontal="center"/>
    </xf>
    <xf numFmtId="165" fontId="0" fillId="8" borderId="1" xfId="0" applyNumberFormat="1" applyFill="1" applyBorder="1"/>
    <xf numFmtId="165" fontId="0" fillId="3" borderId="30" xfId="0" applyNumberFormat="1" applyFill="1" applyBorder="1"/>
    <xf numFmtId="0" fontId="0" fillId="0" borderId="7" xfId="0" applyBorder="1"/>
    <xf numFmtId="0" fontId="6" fillId="9" borderId="1" xfId="4" applyFont="1" applyFill="1" applyBorder="1" applyAlignment="1">
      <alignment horizontal="center" vertical="center" wrapText="1"/>
    </xf>
    <xf numFmtId="0" fontId="6" fillId="9" borderId="1" xfId="4" applyFont="1" applyFill="1" applyBorder="1" applyAlignment="1">
      <alignment horizontal="left" vertical="center" wrapText="1"/>
    </xf>
    <xf numFmtId="165" fontId="6" fillId="0" borderId="0" xfId="4" applyNumberFormat="1" applyFont="1" applyFill="1" applyBorder="1" applyAlignment="1">
      <alignment horizontal="right" vertical="center" wrapText="1"/>
    </xf>
    <xf numFmtId="167" fontId="6" fillId="9" borderId="1" xfId="0" applyNumberFormat="1" applyFont="1" applyFill="1" applyBorder="1"/>
    <xf numFmtId="165" fontId="6" fillId="9" borderId="1" xfId="0" applyNumberFormat="1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/>
    <xf numFmtId="165" fontId="1" fillId="0" borderId="1" xfId="0" applyNumberFormat="1" applyFont="1" applyFill="1" applyBorder="1"/>
    <xf numFmtId="0" fontId="13" fillId="0" borderId="1" xfId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center"/>
    </xf>
    <xf numFmtId="165" fontId="14" fillId="0" borderId="1" xfId="1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/>
    </xf>
    <xf numFmtId="167" fontId="10" fillId="0" borderId="0" xfId="1" applyNumberFormat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0" fontId="14" fillId="0" borderId="1" xfId="1" applyFont="1" applyFill="1" applyBorder="1"/>
    <xf numFmtId="165" fontId="14" fillId="0" borderId="0" xfId="1" applyNumberFormat="1" applyFont="1" applyAlignment="1">
      <alignment horizontal="center"/>
    </xf>
    <xf numFmtId="165" fontId="14" fillId="0" borderId="1" xfId="1" applyNumberFormat="1" applyFont="1" applyBorder="1" applyAlignment="1">
      <alignment horizontal="center" vertical="center"/>
    </xf>
    <xf numFmtId="0" fontId="32" fillId="0" borderId="22" xfId="0" applyFont="1" applyBorder="1" applyAlignment="1"/>
    <xf numFmtId="0" fontId="0" fillId="0" borderId="23" xfId="0" applyFont="1" applyBorder="1"/>
    <xf numFmtId="0" fontId="0" fillId="0" borderId="0" xfId="0" applyFont="1" applyBorder="1"/>
    <xf numFmtId="0" fontId="0" fillId="0" borderId="25" xfId="0" applyFont="1" applyBorder="1"/>
    <xf numFmtId="167" fontId="0" fillId="0" borderId="0" xfId="0" applyNumberFormat="1" applyFont="1" applyFill="1" applyBorder="1"/>
    <xf numFmtId="0" fontId="0" fillId="0" borderId="28" xfId="0" applyFont="1" applyBorder="1"/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1" fillId="2" borderId="1" xfId="1" applyFont="1" applyFill="1" applyBorder="1"/>
    <xf numFmtId="0" fontId="42" fillId="2" borderId="2" xfId="0" applyFont="1" applyFill="1" applyBorder="1" applyAlignment="1">
      <alignment horizontal="center" vertical="center"/>
    </xf>
    <xf numFmtId="0" fontId="42" fillId="2" borderId="2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/>
    </xf>
    <xf numFmtId="0" fontId="41" fillId="0" borderId="1" xfId="0" applyFont="1" applyBorder="1"/>
    <xf numFmtId="0" fontId="41" fillId="0" borderId="1" xfId="0" applyFont="1" applyFill="1" applyBorder="1"/>
    <xf numFmtId="165" fontId="0" fillId="0" borderId="0" xfId="0" applyNumberFormat="1"/>
    <xf numFmtId="0" fontId="2" fillId="0" borderId="0" xfId="0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0" fillId="0" borderId="6" xfId="0" applyFill="1" applyBorder="1" applyAlignment="1">
      <alignment horizontal="center"/>
    </xf>
    <xf numFmtId="165" fontId="11" fillId="0" borderId="0" xfId="1" applyNumberFormat="1" applyFont="1"/>
    <xf numFmtId="165" fontId="11" fillId="0" borderId="0" xfId="1" applyNumberFormat="1" applyFont="1" applyAlignment="1">
      <alignment horizontal="center"/>
    </xf>
    <xf numFmtId="0" fontId="11" fillId="2" borderId="1" xfId="1" applyFont="1" applyFill="1" applyBorder="1"/>
    <xf numFmtId="167" fontId="14" fillId="0" borderId="1" xfId="1" applyNumberFormat="1" applyFont="1" applyBorder="1" applyAlignment="1">
      <alignment horizontal="center"/>
    </xf>
    <xf numFmtId="166" fontId="11" fillId="0" borderId="0" xfId="1" applyNumberFormat="1" applyFont="1" applyAlignment="1">
      <alignment horizontal="center"/>
    </xf>
    <xf numFmtId="0" fontId="3" fillId="0" borderId="0" xfId="1" applyAlignment="1">
      <alignment horizontal="right"/>
    </xf>
    <xf numFmtId="165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/>
    <xf numFmtId="0" fontId="14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right" vertical="center"/>
    </xf>
    <xf numFmtId="1" fontId="13" fillId="0" borderId="1" xfId="1" applyNumberFormat="1" applyFont="1" applyFill="1" applyBorder="1" applyAlignment="1">
      <alignment horizontal="right" vertical="center"/>
    </xf>
    <xf numFmtId="167" fontId="11" fillId="0" borderId="1" xfId="1" applyNumberFormat="1" applyFont="1" applyBorder="1" applyAlignment="1">
      <alignment horizontal="center" vertical="center"/>
    </xf>
    <xf numFmtId="167" fontId="10" fillId="0" borderId="0" xfId="1" applyNumberFormat="1" applyFont="1" applyAlignment="1">
      <alignment horizontal="center" vertical="center"/>
    </xf>
    <xf numFmtId="0" fontId="14" fillId="0" borderId="1" xfId="1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vertical="center" wrapText="1"/>
    </xf>
    <xf numFmtId="167" fontId="11" fillId="0" borderId="0" xfId="1" applyNumberFormat="1" applyFont="1" applyAlignment="1">
      <alignment horizontal="center" vertical="center"/>
    </xf>
    <xf numFmtId="0" fontId="11" fillId="2" borderId="0" xfId="1" applyFont="1" applyFill="1" applyBorder="1"/>
    <xf numFmtId="165" fontId="11" fillId="2" borderId="0" xfId="1" applyNumberFormat="1" applyFont="1" applyFill="1"/>
    <xf numFmtId="0" fontId="14" fillId="2" borderId="7" xfId="0" applyFont="1" applyFill="1" applyBorder="1" applyAlignment="1">
      <alignment vertical="top" wrapText="1"/>
    </xf>
    <xf numFmtId="0" fontId="11" fillId="2" borderId="12" xfId="1" applyFont="1" applyFill="1" applyBorder="1" applyAlignment="1"/>
    <xf numFmtId="0" fontId="11" fillId="2" borderId="14" xfId="1" applyFont="1" applyFill="1" applyBorder="1" applyAlignment="1"/>
    <xf numFmtId="167" fontId="0" fillId="0" borderId="0" xfId="0" applyNumberForma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4" fillId="0" borderId="1" xfId="1" applyFont="1" applyFill="1" applyBorder="1" applyAlignment="1">
      <alignment horizontal="right" vertical="center"/>
    </xf>
    <xf numFmtId="0" fontId="13" fillId="0" borderId="1" xfId="0" applyFont="1" applyFill="1" applyBorder="1"/>
    <xf numFmtId="1" fontId="13" fillId="0" borderId="1" xfId="1" applyNumberFormat="1" applyFont="1" applyFill="1" applyBorder="1" applyAlignment="1">
      <alignment horizontal="right"/>
    </xf>
    <xf numFmtId="0" fontId="14" fillId="0" borderId="1" xfId="1" applyFont="1" applyFill="1" applyBorder="1" applyAlignment="1">
      <alignment vertical="center" wrapText="1"/>
    </xf>
    <xf numFmtId="1" fontId="14" fillId="0" borderId="1" xfId="1" applyNumberFormat="1" applyFont="1" applyFill="1" applyBorder="1"/>
    <xf numFmtId="165" fontId="10" fillId="0" borderId="0" xfId="1" applyNumberFormat="1" applyFont="1" applyBorder="1" applyAlignment="1">
      <alignment horizontal="center"/>
    </xf>
    <xf numFmtId="0" fontId="6" fillId="2" borderId="1" xfId="0" applyFont="1" applyFill="1" applyBorder="1"/>
    <xf numFmtId="0" fontId="6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3" applyFont="1" applyBorder="1"/>
    <xf numFmtId="0" fontId="6" fillId="0" borderId="1" xfId="0" applyFont="1" applyFill="1" applyBorder="1" applyAlignment="1">
      <alignment horizontal="center"/>
    </xf>
    <xf numFmtId="0" fontId="24" fillId="0" borderId="1" xfId="3" applyFont="1" applyFill="1" applyBorder="1"/>
    <xf numFmtId="0" fontId="24" fillId="0" borderId="1" xfId="3" applyFont="1" applyFill="1" applyBorder="1" applyAlignment="1">
      <alignment vertical="top" wrapText="1"/>
    </xf>
    <xf numFmtId="0" fontId="24" fillId="0" borderId="1" xfId="3" applyFont="1" applyBorder="1" applyAlignment="1">
      <alignment vertical="top" wrapText="1"/>
    </xf>
    <xf numFmtId="0" fontId="43" fillId="0" borderId="1" xfId="4" applyFont="1" applyFill="1" applyBorder="1" applyAlignment="1">
      <alignment horizontal="left" vertical="center" wrapText="1"/>
    </xf>
    <xf numFmtId="167" fontId="43" fillId="0" borderId="1" xfId="4" applyNumberFormat="1" applyFont="1" applyFill="1" applyBorder="1" applyAlignment="1">
      <alignment horizontal="center" vertical="center" wrapText="1"/>
    </xf>
    <xf numFmtId="165" fontId="43" fillId="0" borderId="1" xfId="4" applyNumberFormat="1" applyFont="1" applyFill="1" applyBorder="1" applyAlignment="1">
      <alignment horizontal="center" vertical="center" wrapText="1"/>
    </xf>
    <xf numFmtId="165" fontId="44" fillId="0" borderId="1" xfId="4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167" fontId="44" fillId="0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left" vertical="center"/>
    </xf>
    <xf numFmtId="0" fontId="1" fillId="5" borderId="1" xfId="4" applyFont="1" applyFill="1" applyBorder="1" applyAlignment="1">
      <alignment horizontal="center" vertical="center"/>
    </xf>
    <xf numFmtId="0" fontId="23" fillId="1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4" applyNumberFormat="1" applyFont="1" applyFill="1" applyBorder="1" applyAlignment="1">
      <alignment horizontal="left" vertical="center"/>
    </xf>
    <xf numFmtId="49" fontId="6" fillId="0" borderId="1" xfId="4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7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165" fontId="10" fillId="0" borderId="0" xfId="1" applyNumberFormat="1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10" fillId="2" borderId="0" xfId="1" applyFont="1" applyFill="1"/>
    <xf numFmtId="9" fontId="10" fillId="2" borderId="1" xfId="1" applyNumberFormat="1" applyFont="1" applyFill="1" applyBorder="1" applyAlignment="1">
      <alignment horizontal="center" vertical="center"/>
    </xf>
    <xf numFmtId="9" fontId="10" fillId="2" borderId="6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/>
    <xf numFmtId="16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165" fontId="6" fillId="0" borderId="1" xfId="0" applyNumberFormat="1" applyFont="1" applyBorder="1"/>
    <xf numFmtId="0" fontId="6" fillId="0" borderId="0" xfId="0" applyFont="1" applyBorder="1"/>
    <xf numFmtId="0" fontId="32" fillId="0" borderId="23" xfId="0" applyFont="1" applyBorder="1" applyAlignment="1"/>
    <xf numFmtId="0" fontId="45" fillId="0" borderId="25" xfId="0" applyFont="1" applyBorder="1"/>
    <xf numFmtId="0" fontId="4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42" fillId="0" borderId="0" xfId="0" applyFont="1" applyAlignment="1"/>
    <xf numFmtId="0" fontId="6" fillId="0" borderId="0" xfId="0" applyFont="1" applyAlignment="1"/>
    <xf numFmtId="164" fontId="6" fillId="0" borderId="0" xfId="0" applyNumberFormat="1" applyFont="1"/>
    <xf numFmtId="1" fontId="0" fillId="0" borderId="0" xfId="0" applyNumberFormat="1"/>
    <xf numFmtId="0" fontId="46" fillId="0" borderId="0" xfId="0" applyFont="1"/>
    <xf numFmtId="0" fontId="47" fillId="2" borderId="1" xfId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center" vertical="center"/>
    </xf>
    <xf numFmtId="0" fontId="51" fillId="0" borderId="1" xfId="1" applyFont="1" applyFill="1" applyBorder="1" applyAlignment="1">
      <alignment horizontal="center" vertical="center" wrapText="1"/>
    </xf>
    <xf numFmtId="164" fontId="50" fillId="0" borderId="1" xfId="1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48" fillId="0" borderId="0" xfId="0" applyFont="1"/>
    <xf numFmtId="0" fontId="50" fillId="11" borderId="1" xfId="0" applyFont="1" applyFill="1" applyBorder="1"/>
    <xf numFmtId="167" fontId="50" fillId="11" borderId="1" xfId="0" applyNumberFormat="1" applyFont="1" applyFill="1" applyBorder="1" applyAlignment="1">
      <alignment horizontal="center"/>
    </xf>
    <xf numFmtId="0" fontId="52" fillId="0" borderId="22" xfId="0" applyFont="1" applyBorder="1" applyAlignment="1"/>
    <xf numFmtId="0" fontId="52" fillId="0" borderId="23" xfId="0" applyFont="1" applyBorder="1" applyAlignment="1"/>
    <xf numFmtId="0" fontId="14" fillId="0" borderId="23" xfId="0" applyFont="1" applyBorder="1"/>
    <xf numFmtId="0" fontId="14" fillId="0" borderId="24" xfId="0" applyFont="1" applyBorder="1"/>
    <xf numFmtId="0" fontId="32" fillId="0" borderId="0" xfId="0" applyFont="1" applyBorder="1" applyAlignment="1"/>
    <xf numFmtId="0" fontId="14" fillId="0" borderId="0" xfId="0" applyFont="1" applyBorder="1"/>
    <xf numFmtId="0" fontId="14" fillId="0" borderId="25" xfId="0" applyFont="1" applyBorder="1"/>
    <xf numFmtId="0" fontId="14" fillId="0" borderId="26" xfId="0" applyFont="1" applyBorder="1"/>
    <xf numFmtId="0" fontId="48" fillId="0" borderId="0" xfId="0" applyFont="1" applyBorder="1"/>
    <xf numFmtId="0" fontId="14" fillId="0" borderId="0" xfId="0" applyFont="1" applyFill="1" applyBorder="1"/>
    <xf numFmtId="0" fontId="53" fillId="0" borderId="0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45" fillId="0" borderId="0" xfId="0" applyFont="1" applyBorder="1" applyAlignment="1"/>
    <xf numFmtId="0" fontId="53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5" fillId="0" borderId="25" xfId="0" applyFont="1" applyBorder="1" applyAlignment="1"/>
    <xf numFmtId="0" fontId="35" fillId="0" borderId="0" xfId="0" applyFont="1" applyBorder="1" applyAlignment="1"/>
    <xf numFmtId="0" fontId="35" fillId="0" borderId="26" xfId="0" applyFont="1" applyBorder="1" applyAlignment="1"/>
    <xf numFmtId="0" fontId="38" fillId="0" borderId="0" xfId="0" applyFont="1" applyBorder="1" applyAlignment="1"/>
    <xf numFmtId="0" fontId="38" fillId="0" borderId="0" xfId="0" applyFont="1" applyFill="1" applyBorder="1" applyAlignment="1"/>
    <xf numFmtId="0" fontId="45" fillId="0" borderId="0" xfId="0" applyFont="1" applyBorder="1" applyAlignment="1">
      <alignment vertical="center"/>
    </xf>
    <xf numFmtId="0" fontId="53" fillId="0" borderId="26" xfId="0" applyFont="1" applyBorder="1" applyAlignment="1">
      <alignment horizontal="left"/>
    </xf>
    <xf numFmtId="0" fontId="53" fillId="0" borderId="25" xfId="0" applyFont="1" applyBorder="1" applyAlignment="1"/>
    <xf numFmtId="0" fontId="53" fillId="0" borderId="0" xfId="0" applyFont="1" applyBorder="1" applyAlignment="1"/>
    <xf numFmtId="0" fontId="37" fillId="0" borderId="26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53" fillId="0" borderId="27" xfId="0" applyFont="1" applyBorder="1" applyAlignment="1"/>
    <xf numFmtId="0" fontId="53" fillId="0" borderId="28" xfId="0" applyFont="1" applyBorder="1" applyAlignment="1"/>
    <xf numFmtId="0" fontId="53" fillId="0" borderId="28" xfId="0" applyFont="1" applyBorder="1" applyAlignment="1">
      <alignment horizontal="left"/>
    </xf>
    <xf numFmtId="0" fontId="53" fillId="0" borderId="29" xfId="0" applyFont="1" applyBorder="1" applyAlignment="1">
      <alignment horizontal="left"/>
    </xf>
    <xf numFmtId="0" fontId="50" fillId="0" borderId="0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 wrapText="1"/>
    </xf>
    <xf numFmtId="164" fontId="50" fillId="0" borderId="0" xfId="1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1" fontId="0" fillId="0" borderId="0" xfId="0" applyNumberFormat="1" applyBorder="1"/>
    <xf numFmtId="167" fontId="0" fillId="8" borderId="1" xfId="0" applyNumberFormat="1" applyFill="1" applyBorder="1"/>
    <xf numFmtId="167" fontId="6" fillId="8" borderId="1" xfId="0" applyNumberFormat="1" applyFont="1" applyFill="1" applyBorder="1"/>
    <xf numFmtId="0" fontId="56" fillId="0" borderId="0" xfId="0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1" fillId="0" borderId="0" xfId="0" applyFont="1"/>
    <xf numFmtId="0" fontId="58" fillId="0" borderId="0" xfId="0" applyFont="1"/>
    <xf numFmtId="0" fontId="42" fillId="0" borderId="0" xfId="0" applyFont="1"/>
    <xf numFmtId="0" fontId="1" fillId="13" borderId="1" xfId="4" applyFont="1" applyFill="1" applyBorder="1" applyAlignment="1">
      <alignment horizontal="center" vertical="center"/>
    </xf>
    <xf numFmtId="0" fontId="23" fillId="13" borderId="1" xfId="4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169" fontId="0" fillId="8" borderId="1" xfId="0" applyNumberFormat="1" applyFill="1" applyBorder="1"/>
    <xf numFmtId="0" fontId="0" fillId="12" borderId="1" xfId="0" applyFill="1" applyBorder="1"/>
    <xf numFmtId="165" fontId="0" fillId="12" borderId="1" xfId="0" applyNumberFormat="1" applyFill="1" applyBorder="1"/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0" fillId="2" borderId="15" xfId="1" applyFont="1" applyFill="1" applyBorder="1" applyAlignment="1">
      <alignment horizontal="center" wrapText="1"/>
    </xf>
    <xf numFmtId="0" fontId="10" fillId="2" borderId="8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"/>
    </xf>
    <xf numFmtId="0" fontId="6" fillId="5" borderId="1" xfId="13" applyFont="1" applyFill="1" applyBorder="1" applyAlignment="1">
      <alignment horizontal="center" vertical="center" wrapText="1"/>
    </xf>
    <xf numFmtId="0" fontId="6" fillId="5" borderId="2" xfId="13" applyFont="1" applyFill="1" applyBorder="1" applyAlignment="1">
      <alignment horizontal="center" vertical="center"/>
    </xf>
    <xf numFmtId="0" fontId="6" fillId="5" borderId="7" xfId="13" applyFont="1" applyFill="1" applyBorder="1" applyAlignment="1">
      <alignment horizontal="center" vertical="center"/>
    </xf>
    <xf numFmtId="0" fontId="6" fillId="5" borderId="1" xfId="13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top" wrapText="1"/>
    </xf>
    <xf numFmtId="0" fontId="18" fillId="0" borderId="18" xfId="4" applyFont="1" applyFill="1" applyBorder="1" applyAlignment="1">
      <alignment horizontal="center" vertical="top" wrapText="1"/>
    </xf>
    <xf numFmtId="0" fontId="18" fillId="0" borderId="7" xfId="4" applyFont="1" applyFill="1" applyBorder="1" applyAlignment="1">
      <alignment horizontal="center" vertical="top" wrapText="1"/>
    </xf>
    <xf numFmtId="0" fontId="18" fillId="0" borderId="1" xfId="4" applyFont="1" applyFill="1" applyBorder="1" applyAlignment="1">
      <alignment horizontal="center" vertical="top" wrapText="1"/>
    </xf>
    <xf numFmtId="0" fontId="18" fillId="0" borderId="1" xfId="4" applyFont="1" applyFill="1" applyBorder="1" applyAlignment="1">
      <alignment horizontal="left" vertical="center" wrapText="1"/>
    </xf>
    <xf numFmtId="0" fontId="0" fillId="0" borderId="1" xfId="4" applyFont="1" applyFill="1" applyBorder="1" applyAlignment="1">
      <alignment horizontal="left" vertical="center" wrapText="1"/>
    </xf>
    <xf numFmtId="0" fontId="0" fillId="0" borderId="13" xfId="4" applyFont="1" applyFill="1" applyBorder="1" applyAlignment="1">
      <alignment horizontal="left" vertical="center" wrapText="1"/>
    </xf>
    <xf numFmtId="0" fontId="0" fillId="0" borderId="14" xfId="4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7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25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35" fillId="0" borderId="25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2" fillId="2" borderId="6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23" fillId="10" borderId="6" xfId="4" applyFont="1" applyFill="1" applyBorder="1" applyAlignment="1">
      <alignment horizontal="center" vertical="center" wrapText="1"/>
    </xf>
    <xf numFmtId="0" fontId="23" fillId="10" borderId="30" xfId="4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23" fillId="10" borderId="8" xfId="4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13" fillId="0" borderId="2" xfId="2" applyFont="1" applyFill="1" applyBorder="1" applyAlignment="1">
      <alignment horizontal="left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/>
    </xf>
    <xf numFmtId="0" fontId="14" fillId="0" borderId="0" xfId="1" applyFont="1" applyFill="1"/>
    <xf numFmtId="0" fontId="13" fillId="0" borderId="1" xfId="1" applyFont="1" applyFill="1" applyBorder="1"/>
    <xf numFmtId="0" fontId="6" fillId="0" borderId="6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2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165" fontId="13" fillId="0" borderId="1" xfId="1" applyNumberFormat="1" applyFont="1" applyFill="1" applyBorder="1"/>
    <xf numFmtId="1" fontId="13" fillId="0" borderId="1" xfId="1" applyNumberFormat="1" applyFont="1" applyFill="1" applyBorder="1"/>
    <xf numFmtId="0" fontId="13" fillId="0" borderId="1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vertical="center" wrapText="1"/>
    </xf>
    <xf numFmtId="0" fontId="13" fillId="0" borderId="0" xfId="1" applyFont="1" applyFill="1"/>
    <xf numFmtId="0" fontId="14" fillId="0" borderId="1" xfId="0" applyFont="1" applyFill="1" applyBorder="1"/>
    <xf numFmtId="0" fontId="14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6" fillId="0" borderId="1" xfId="13" applyFont="1" applyFill="1" applyBorder="1" applyAlignment="1">
      <alignment horizontal="center" vertical="center"/>
    </xf>
  </cellXfs>
  <cellStyles count="30">
    <cellStyle name="Comma 2" xfId="6"/>
    <cellStyle name="Hüperlink" xfId="3" builtinId="8"/>
    <cellStyle name="Hüperlink 2" xfId="7"/>
    <cellStyle name="Hüperlink 3" xfId="8"/>
    <cellStyle name="Hüperlink 4" xfId="22"/>
    <cellStyle name="Hüperlink 5" xfId="23"/>
    <cellStyle name="Hyperlink 2" xfId="9"/>
    <cellStyle name="Koma 2" xfId="10"/>
    <cellStyle name="Normaallaad" xfId="0" builtinId="0"/>
    <cellStyle name="Normaallaad 2" xfId="1"/>
    <cellStyle name="Normaallaad 2 2" xfId="11"/>
    <cellStyle name="Normaallaad 3" xfId="12"/>
    <cellStyle name="Normaallaad 3 2" xfId="24"/>
    <cellStyle name="Normaallaad 3 3" xfId="25"/>
    <cellStyle name="Normaallaad 4" xfId="13"/>
    <cellStyle name="Normaallaad 5" xfId="4"/>
    <cellStyle name="Normaallaad 6" xfId="14"/>
    <cellStyle name="Normaallaad 7" xfId="15"/>
    <cellStyle name="Normal" xfId="16"/>
    <cellStyle name="Normal 2" xfId="2"/>
    <cellStyle name="Normal 2 2" xfId="17"/>
    <cellStyle name="Normal 2 3" xfId="26"/>
    <cellStyle name="Normal 3" xfId="18"/>
    <cellStyle name="Normal 4" xfId="19"/>
    <cellStyle name="Normal 5" xfId="27"/>
    <cellStyle name="Normal_TARTALL" xfId="20"/>
    <cellStyle name="Protsent 2" xfId="21"/>
    <cellStyle name="Protsent 2 2" xfId="28"/>
    <cellStyle name="Protsent 2 3" xfId="29"/>
    <cellStyle name="Prots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8</xdr:row>
      <xdr:rowOff>45720</xdr:rowOff>
    </xdr:from>
    <xdr:to>
      <xdr:col>3</xdr:col>
      <xdr:colOff>540549</xdr:colOff>
      <xdr:row>10</xdr:row>
      <xdr:rowOff>160505</xdr:rowOff>
    </xdr:to>
    <xdr:pic>
      <xdr:nvPicPr>
        <xdr:cNvPr id="2" name="Picture 5" descr="https://www.riigiteataja.ee/aktilisa/1020/6202/0013/4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" y="6583680"/>
          <a:ext cx="2316009" cy="4805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4</xdr:col>
      <xdr:colOff>193842</xdr:colOff>
      <xdr:row>32</xdr:row>
      <xdr:rowOff>49107</xdr:rowOff>
    </xdr:to>
    <xdr:pic>
      <xdr:nvPicPr>
        <xdr:cNvPr id="2" name="Picture 8" descr="https://www.riigiteataja.ee/aktilisa/1020/6202/0013/1.gif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906000"/>
          <a:ext cx="3449276" cy="4318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3</xdr:col>
      <xdr:colOff>169146</xdr:colOff>
      <xdr:row>44</xdr:row>
      <xdr:rowOff>121796</xdr:rowOff>
    </xdr:to>
    <xdr:pic>
      <xdr:nvPicPr>
        <xdr:cNvPr id="3" name="Picture 10" descr="https://www.riigiteataja.ee/aktilisa/1020/6202/0013/3.gif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138660"/>
          <a:ext cx="1673673" cy="48755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784860</xdr:colOff>
      <xdr:row>39</xdr:row>
      <xdr:rowOff>167641</xdr:rowOff>
    </xdr:to>
    <xdr:pic>
      <xdr:nvPicPr>
        <xdr:cNvPr id="4" name="Picture 29" descr="https://www.riigiteataja.ee/aktilisa/1020/6202/0013/2.gif">
          <a:extLst>
            <a:ext uri="{FF2B5EF4-FFF2-40B4-BE49-F238E27FC236}">
              <a16:creationId xmlns="" xmlns:a16="http://schemas.microsoft.com/office/drawing/2014/main" id="{00000000-0008-0000-02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42960" y="11399520"/>
          <a:ext cx="784860" cy="35052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ma%20O&#220;\RIDAS%20YACHT%20&amp;%20COMPOSITES%20O&#220;\Ridas_Yacht_arvutustabelid_f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mma%20O&#220;/Orka%20AS%20P&#245;rguv&#228;lja/Orkla%20Eesti%20AS%20P&#245;rguv&#228;lja%20tee%206%2013.05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emma%20O&#220;/Puit-Profiil%20AS%20P&#245;ltsamaa/Tabelid%20-%20Puit-Profiil%20AS%20P&#245;ltsamaa%2009.08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Ü"/>
      <sheetName val="lahustid"/>
      <sheetName val="Põletamine puhurid"/>
      <sheetName val="Põletamine katlad"/>
      <sheetName val="kiirus V1"/>
      <sheetName val="kiirus V7"/>
      <sheetName val="Keevitus koos CO ja NO)"/>
      <sheetName val="Puidu töötlemine"/>
      <sheetName val="Heiteallikate mõõdud"/>
      <sheetName val="Süsiniku arvutus"/>
    </sheetNames>
    <sheetDataSet>
      <sheetData sheetId="0">
        <row r="12">
          <cell r="M12">
            <v>10626</v>
          </cell>
        </row>
      </sheetData>
      <sheetData sheetId="1">
        <row r="5">
          <cell r="R5">
            <v>5.9994999999999996E-3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gandmed"/>
      <sheetName val="K1 Põletusseade "/>
      <sheetName val="Kiirused"/>
      <sheetName val="Koond"/>
      <sheetName val="Piirvääruse arvutus"/>
      <sheetName val="Naabrid + Orkla Eesti AS"/>
    </sheetNames>
    <sheetDataSet>
      <sheetData sheetId="0">
        <row r="2">
          <cell r="C2" t="str">
            <v>Maagaas</v>
          </cell>
          <cell r="M2">
            <v>33.6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gandmed"/>
      <sheetName val="V2 V3 puidu tolm"/>
      <sheetName val="Põletusseadmed"/>
      <sheetName val="V4 saepuru laadimine"/>
      <sheetName val="Kiirused"/>
      <sheetName val="LOÜ"/>
      <sheetName val="Lahustid"/>
      <sheetName val="Koond"/>
    </sheetNames>
    <sheetDataSet>
      <sheetData sheetId="0">
        <row r="2">
          <cell r="P2">
            <v>0.05</v>
          </cell>
        </row>
        <row r="7">
          <cell r="N7" t="str">
            <v>t/a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kotkas.envir.ee/registry_emission_source/emission_source_view?registry_code=HEIT0008484" TargetMode="External"/><Relationship Id="rId13" Type="http://schemas.openxmlformats.org/officeDocument/2006/relationships/hyperlink" Target="https://kotkas.envir.ee/registry_emission_source/emission_source_view?registry_code=HEIT0006923" TargetMode="External"/><Relationship Id="rId3" Type="http://schemas.openxmlformats.org/officeDocument/2006/relationships/hyperlink" Target="https://kotkas.envir.ee/registry_emission_source/emission_source_view?registry_code=HEIT0008482" TargetMode="External"/><Relationship Id="rId7" Type="http://schemas.openxmlformats.org/officeDocument/2006/relationships/hyperlink" Target="https://kotkas.envir.ee/registry_emission_source/emission_source_view?registry_code=HEIT0008479" TargetMode="External"/><Relationship Id="rId12" Type="http://schemas.openxmlformats.org/officeDocument/2006/relationships/hyperlink" Target="https://kotkas.envir.ee/registry_emission_source/emission_source_view?registry_code=HEIT0006922" TargetMode="External"/><Relationship Id="rId2" Type="http://schemas.openxmlformats.org/officeDocument/2006/relationships/hyperlink" Target="https://kotkas.envir.ee/registry_emission_source/emission_source_view?registry_code=HEIT0008483" TargetMode="External"/><Relationship Id="rId1" Type="http://schemas.openxmlformats.org/officeDocument/2006/relationships/hyperlink" Target="https://kotkas.envir.ee/registry_emission_source/emission_source_view?registry_code=HEIT0008480" TargetMode="External"/><Relationship Id="rId6" Type="http://schemas.openxmlformats.org/officeDocument/2006/relationships/hyperlink" Target="https://kotkas.envir.ee/registry_emission_source/emission_source_view?registry_code=HEIT0008481" TargetMode="External"/><Relationship Id="rId11" Type="http://schemas.openxmlformats.org/officeDocument/2006/relationships/hyperlink" Target="https://kotkas.envir.ee/registry_emission_source/emission_source_view?registry_code=HEIT0006921" TargetMode="External"/><Relationship Id="rId5" Type="http://schemas.openxmlformats.org/officeDocument/2006/relationships/hyperlink" Target="https://kotkas.envir.ee/registry_emission_source/emission_source_view?registry_code=HEIT0008486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s://kotkas.envir.ee/registry_emission_source/emission_source_view?registry_code=HEIT0005714" TargetMode="External"/><Relationship Id="rId4" Type="http://schemas.openxmlformats.org/officeDocument/2006/relationships/hyperlink" Target="https://kotkas.envir.ee/registry_emission_source/emission_source_view?registry_code=HEIT0008487" TargetMode="External"/><Relationship Id="rId9" Type="http://schemas.openxmlformats.org/officeDocument/2006/relationships/hyperlink" Target="https://kotkas.envir.ee/registry_emission_source/emission_source_view?registry_code=HEIT0005715" TargetMode="External"/><Relationship Id="rId14" Type="http://schemas.openxmlformats.org/officeDocument/2006/relationships/hyperlink" Target="https://kotkas.envir.ee/registry_emission_source/emission_source_view?registry_code=HEIT00068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kotkas.envir.ee/registry_emission_source/emission_source_view?represented_id=459278&amp;registry_code=HEIT0008461&amp;cft=5d8ef182" TargetMode="External"/><Relationship Id="rId13" Type="http://schemas.openxmlformats.org/officeDocument/2006/relationships/hyperlink" Target="https://kotkas.envir.ee/registry_emission_source/emission_source_view?represented_id=459278&amp;registry_code=HEIT0008460&amp;cft=5d8ef182" TargetMode="External"/><Relationship Id="rId18" Type="http://schemas.openxmlformats.org/officeDocument/2006/relationships/hyperlink" Target="https://kotkas.envir.ee/registry_emission_source/emission_source_view?represented_id=459278&amp;registry_code=HEIT0008446&amp;cft=5d8ef182" TargetMode="External"/><Relationship Id="rId3" Type="http://schemas.openxmlformats.org/officeDocument/2006/relationships/hyperlink" Target="https://kotkas.envir.ee/registry_emission_source/emission_source_view?represented_id=459278&amp;registry_code=HEIT0001002&amp;cft=5d8ef182" TargetMode="External"/><Relationship Id="rId7" Type="http://schemas.openxmlformats.org/officeDocument/2006/relationships/hyperlink" Target="https://kotkas.envir.ee/registry_emission_source/emission_source_view?represented_id=459278&amp;registry_code=HEIT0008470&amp;cft=5d8ef182" TargetMode="External"/><Relationship Id="rId12" Type="http://schemas.openxmlformats.org/officeDocument/2006/relationships/hyperlink" Target="https://kotkas.envir.ee/registry_emission_source/emission_source_view?represented_id=459278&amp;registry_code=HEIT0008463&amp;cft=5d8ef182" TargetMode="External"/><Relationship Id="rId17" Type="http://schemas.openxmlformats.org/officeDocument/2006/relationships/hyperlink" Target="https://kotkas.envir.ee/registry_emission_source/emission_source_view?represented_id=459278&amp;registry_code=HEIT0008445&amp;cft=5d8ef182" TargetMode="External"/><Relationship Id="rId2" Type="http://schemas.openxmlformats.org/officeDocument/2006/relationships/hyperlink" Target="https://kotkas.envir.ee/registry_emission_source/emission_source_view?represented_id=459278&amp;registry_code=HEIT0008466&amp;cft=5d8ef182" TargetMode="External"/><Relationship Id="rId16" Type="http://schemas.openxmlformats.org/officeDocument/2006/relationships/hyperlink" Target="https://kotkas.envir.ee/registry_emission_source/emission_source_view?represented_id=459278&amp;registry_code=HEIT0001003&amp;cft=5d8ef182" TargetMode="External"/><Relationship Id="rId20" Type="http://schemas.openxmlformats.org/officeDocument/2006/relationships/printerSettings" Target="../printerSettings/printerSettings10.bin"/><Relationship Id="rId1" Type="http://schemas.openxmlformats.org/officeDocument/2006/relationships/hyperlink" Target="https://kotkas.envir.ee/registry_emission_source/emission_source_view?represented_id=459278&amp;registry_code=HEIT0001001&amp;cft=5d8ef182" TargetMode="External"/><Relationship Id="rId6" Type="http://schemas.openxmlformats.org/officeDocument/2006/relationships/hyperlink" Target="https://kotkas.envir.ee/registry_emission_source/emission_source_view?represented_id=459278&amp;registry_code=HEIT0008469&amp;cft=5d8ef182" TargetMode="External"/><Relationship Id="rId11" Type="http://schemas.openxmlformats.org/officeDocument/2006/relationships/hyperlink" Target="https://kotkas.envir.ee/registry_emission_source/emission_source_view?represented_id=459278&amp;registry_code=HEIT0008462&amp;cft=5d8ef182" TargetMode="External"/><Relationship Id="rId5" Type="http://schemas.openxmlformats.org/officeDocument/2006/relationships/hyperlink" Target="https://kotkas.envir.ee/registry_emission_source/emission_source_view?represented_id=459278&amp;registry_code=HEIT0008468&amp;cft=5d8ef182" TargetMode="External"/><Relationship Id="rId15" Type="http://schemas.openxmlformats.org/officeDocument/2006/relationships/hyperlink" Target="https://kotkas.envir.ee/registry_emission_source/emission_source_view?represented_id=459278&amp;registry_code=HEIT0008448&amp;cft=5d8ef182" TargetMode="External"/><Relationship Id="rId10" Type="http://schemas.openxmlformats.org/officeDocument/2006/relationships/hyperlink" Target="https://kotkas.envir.ee/registry_emission_source/emission_source_view?represented_id=459278&amp;registry_code=HEIT0008465&amp;cft=5d8ef182" TargetMode="External"/><Relationship Id="rId19" Type="http://schemas.openxmlformats.org/officeDocument/2006/relationships/hyperlink" Target="https://kotkas.envir.ee/registry_emission_source/emission_source_view?represented_id=459278&amp;registry_code=HEIT0008447&amp;cft=5d8ef182" TargetMode="External"/><Relationship Id="rId4" Type="http://schemas.openxmlformats.org/officeDocument/2006/relationships/hyperlink" Target="https://kotkas.envir.ee/registry_emission_source/emission_source_view?represented_id=459278&amp;registry_code=HEIT0008467&amp;cft=5d8ef182" TargetMode="External"/><Relationship Id="rId9" Type="http://schemas.openxmlformats.org/officeDocument/2006/relationships/hyperlink" Target="https://kotkas.envir.ee/registry_emission_source/emission_source_view?represented_id=459278&amp;registry_code=HEIT0008464&amp;cft=5d8ef182" TargetMode="External"/><Relationship Id="rId14" Type="http://schemas.openxmlformats.org/officeDocument/2006/relationships/hyperlink" Target="https://kotkas.envir.ee/registry_emission_source/emission_source_view?represented_id=459278&amp;registry_code=HEIT0008459&amp;cft=5d8ef18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znaytovar.ru/gost/2/Vremennye_metodicheskie_ukazan2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H44" sqref="H44"/>
    </sheetView>
  </sheetViews>
  <sheetFormatPr defaultRowHeight="14.4"/>
  <cols>
    <col min="1" max="1" width="13.33203125" customWidth="1"/>
    <col min="2" max="2" width="36.77734375" customWidth="1"/>
    <col min="3" max="3" width="16.44140625" customWidth="1"/>
    <col min="4" max="4" width="22.88671875" customWidth="1"/>
    <col min="5" max="5" width="25.109375" customWidth="1"/>
  </cols>
  <sheetData>
    <row r="1" spans="1:5" ht="18">
      <c r="A1" s="446" t="s">
        <v>463</v>
      </c>
    </row>
    <row r="2" spans="1:5">
      <c r="A2" s="447" t="s">
        <v>464</v>
      </c>
    </row>
    <row r="3" spans="1:5">
      <c r="A3" s="227" t="s">
        <v>465</v>
      </c>
    </row>
    <row r="5" spans="1:5">
      <c r="C5" t="s">
        <v>8</v>
      </c>
      <c r="E5" s="452" t="s">
        <v>468</v>
      </c>
    </row>
    <row r="6" spans="1:5">
      <c r="A6" s="1">
        <v>1</v>
      </c>
      <c r="B6" s="1" t="s">
        <v>0</v>
      </c>
      <c r="C6" s="109">
        <v>4000</v>
      </c>
      <c r="E6" s="452">
        <v>4000</v>
      </c>
    </row>
    <row r="7" spans="1:5">
      <c r="A7" s="1">
        <v>2</v>
      </c>
      <c r="B7" s="1" t="s">
        <v>1</v>
      </c>
      <c r="C7" s="109">
        <v>50</v>
      </c>
      <c r="E7" s="452">
        <v>50</v>
      </c>
    </row>
    <row r="8" spans="1:5">
      <c r="A8" s="1">
        <v>3</v>
      </c>
      <c r="B8" s="1" t="s">
        <v>2</v>
      </c>
      <c r="C8" s="109">
        <v>4950.5</v>
      </c>
      <c r="E8" s="452">
        <v>4950.5</v>
      </c>
    </row>
    <row r="9" spans="1:5">
      <c r="A9" s="1">
        <v>4</v>
      </c>
      <c r="B9" s="1" t="s">
        <v>3</v>
      </c>
      <c r="C9" s="109">
        <v>15</v>
      </c>
      <c r="E9" s="452">
        <v>15</v>
      </c>
    </row>
    <row r="10" spans="1:5">
      <c r="A10" s="1">
        <v>5</v>
      </c>
      <c r="B10" s="1" t="s">
        <v>4</v>
      </c>
      <c r="C10" s="109">
        <v>15</v>
      </c>
      <c r="E10" s="452">
        <v>15</v>
      </c>
    </row>
    <row r="11" spans="1:5">
      <c r="A11" s="1">
        <v>6</v>
      </c>
      <c r="B11" s="1" t="s">
        <v>5</v>
      </c>
      <c r="C11" s="109">
        <v>100</v>
      </c>
      <c r="E11" s="452">
        <v>100</v>
      </c>
    </row>
    <row r="12" spans="1:5">
      <c r="A12" s="1">
        <v>7</v>
      </c>
      <c r="B12" s="1" t="s">
        <v>6</v>
      </c>
      <c r="C12" s="109">
        <v>200</v>
      </c>
      <c r="E12" s="452">
        <v>200</v>
      </c>
    </row>
    <row r="13" spans="1:5">
      <c r="A13" s="1">
        <v>8</v>
      </c>
      <c r="B13" s="1" t="s">
        <v>7</v>
      </c>
      <c r="C13" s="109">
        <v>100</v>
      </c>
      <c r="E13" s="452">
        <v>100</v>
      </c>
    </row>
    <row r="14" spans="1:5">
      <c r="E14" s="452"/>
    </row>
    <row r="15" spans="1:5">
      <c r="A15" s="1">
        <v>9</v>
      </c>
      <c r="B15" s="1" t="s">
        <v>9</v>
      </c>
      <c r="C15" s="109">
        <v>1500</v>
      </c>
      <c r="D15" t="s">
        <v>11</v>
      </c>
      <c r="E15" s="452">
        <v>1500</v>
      </c>
    </row>
    <row r="16" spans="1:5">
      <c r="A16" s="1">
        <v>10</v>
      </c>
      <c r="B16" s="1" t="s">
        <v>10</v>
      </c>
      <c r="C16" s="109">
        <v>3043</v>
      </c>
      <c r="D16" t="s">
        <v>12</v>
      </c>
      <c r="E16" s="452">
        <v>3043</v>
      </c>
    </row>
    <row r="17" spans="1:5">
      <c r="A17" s="1">
        <v>11</v>
      </c>
      <c r="B17" s="1" t="s">
        <v>87</v>
      </c>
      <c r="C17" s="109">
        <v>360</v>
      </c>
      <c r="D17" t="s">
        <v>84</v>
      </c>
      <c r="E17" s="452">
        <v>360</v>
      </c>
    </row>
    <row r="18" spans="1:5">
      <c r="A18" s="1">
        <v>12</v>
      </c>
      <c r="B18" s="1" t="s">
        <v>88</v>
      </c>
      <c r="C18" s="109">
        <v>5000</v>
      </c>
      <c r="D18" t="s">
        <v>12</v>
      </c>
      <c r="E18" s="452">
        <v>5000</v>
      </c>
    </row>
    <row r="19" spans="1:5">
      <c r="A19" s="1">
        <v>13</v>
      </c>
      <c r="B19" s="213" t="s">
        <v>461</v>
      </c>
      <c r="C19" s="109">
        <v>365</v>
      </c>
      <c r="D19" t="s">
        <v>467</v>
      </c>
      <c r="E19" s="452">
        <v>365</v>
      </c>
    </row>
    <row r="22" spans="1:5" ht="18">
      <c r="A22" s="446" t="s">
        <v>466</v>
      </c>
    </row>
    <row r="24" spans="1:5">
      <c r="A24" s="448" t="s">
        <v>97</v>
      </c>
      <c r="B24" s="449" t="s">
        <v>98</v>
      </c>
      <c r="C24" s="450" t="s">
        <v>469</v>
      </c>
      <c r="E24" s="452" t="s">
        <v>470</v>
      </c>
    </row>
    <row r="25" spans="1:5">
      <c r="A25" s="137" t="s">
        <v>103</v>
      </c>
      <c r="B25" s="324" t="s">
        <v>104</v>
      </c>
      <c r="C25" s="230">
        <f>Koond!AP4</f>
        <v>10.582336799999998</v>
      </c>
      <c r="E25" s="452">
        <v>6.6070000000000002</v>
      </c>
    </row>
    <row r="26" spans="1:5">
      <c r="A26" s="137" t="s">
        <v>106</v>
      </c>
      <c r="B26" s="324" t="s">
        <v>107</v>
      </c>
      <c r="C26" s="230">
        <f>Koond!AP5</f>
        <v>60.47049599999999</v>
      </c>
      <c r="E26" s="452">
        <v>37.756999999999998</v>
      </c>
    </row>
    <row r="27" spans="1:5" ht="28.8">
      <c r="A27" s="337" t="s">
        <v>108</v>
      </c>
      <c r="B27" s="324" t="s">
        <v>361</v>
      </c>
      <c r="C27" s="230">
        <f>Koond!AP6</f>
        <v>4.7762495673046566</v>
      </c>
      <c r="E27" s="452">
        <v>4.4509999999999996</v>
      </c>
    </row>
    <row r="28" spans="1:5">
      <c r="A28" s="338" t="s">
        <v>110</v>
      </c>
      <c r="B28" s="324" t="s">
        <v>111</v>
      </c>
      <c r="C28" s="230">
        <f>Koond!AP7</f>
        <v>0.5543128799999999</v>
      </c>
      <c r="E28" s="452">
        <v>0.34599999999999997</v>
      </c>
    </row>
    <row r="29" spans="1:5">
      <c r="A29" s="140" t="s">
        <v>72</v>
      </c>
      <c r="B29" s="324" t="s">
        <v>73</v>
      </c>
      <c r="C29" s="230">
        <f>Koond!AP8</f>
        <v>5.9789246399999989</v>
      </c>
      <c r="E29" s="452">
        <v>3.7450000000000001</v>
      </c>
    </row>
    <row r="30" spans="1:5">
      <c r="A30" s="137" t="s">
        <v>112</v>
      </c>
      <c r="B30" s="324" t="s">
        <v>113</v>
      </c>
      <c r="C30" s="230">
        <f>Koond!AP9</f>
        <v>5.9462654399999995</v>
      </c>
      <c r="E30" s="452">
        <v>3.7130000000000001</v>
      </c>
    </row>
    <row r="31" spans="1:5">
      <c r="A31" s="137" t="s">
        <v>114</v>
      </c>
      <c r="B31" s="324" t="s">
        <v>115</v>
      </c>
      <c r="C31" s="230">
        <f>Koond!AP10</f>
        <v>5.7950891999999996</v>
      </c>
      <c r="E31" s="452">
        <v>3.6179999999999999</v>
      </c>
    </row>
    <row r="32" spans="1:5">
      <c r="A32" s="137" t="s">
        <v>136</v>
      </c>
      <c r="B32" s="330" t="s">
        <v>137</v>
      </c>
      <c r="C32" s="451">
        <f>Koond!AP11/1000</f>
        <v>2.5800744959999997E-2</v>
      </c>
      <c r="E32" s="452">
        <v>1.6109999999999999E-2</v>
      </c>
    </row>
    <row r="33" spans="1:5">
      <c r="A33" s="336" t="s">
        <v>138</v>
      </c>
      <c r="B33" s="333" t="s">
        <v>139</v>
      </c>
      <c r="C33" s="230">
        <f>Koond!AP12</f>
        <v>1.8645069599999997</v>
      </c>
      <c r="E33" s="452">
        <v>1.1639999999999999</v>
      </c>
    </row>
    <row r="34" spans="1:5">
      <c r="A34" s="335" t="s">
        <v>362</v>
      </c>
      <c r="B34" s="334" t="s">
        <v>173</v>
      </c>
      <c r="C34" s="230">
        <f>Koond!AP13</f>
        <v>5520.6337754879987</v>
      </c>
      <c r="E34" s="452">
        <v>3446.9940000000001</v>
      </c>
    </row>
    <row r="35" spans="1:5">
      <c r="A35" s="335" t="s">
        <v>147</v>
      </c>
      <c r="B35" s="335" t="s">
        <v>148</v>
      </c>
      <c r="C35" s="230">
        <f>Koond!AP14</f>
        <v>2825.3836799999999</v>
      </c>
      <c r="E35" s="452">
        <v>2825.384</v>
      </c>
    </row>
    <row r="36" spans="1:5">
      <c r="A36" s="339" t="s">
        <v>265</v>
      </c>
      <c r="B36" s="74" t="s">
        <v>46</v>
      </c>
      <c r="C36" s="230">
        <f>Koond!AP15</f>
        <v>5.7272727272727284E-3</v>
      </c>
      <c r="E36" s="452">
        <v>5.0000000000000001E-3</v>
      </c>
    </row>
    <row r="37" spans="1:5">
      <c r="A37" s="340" t="s">
        <v>264</v>
      </c>
      <c r="B37" s="74" t="s">
        <v>47</v>
      </c>
      <c r="C37" s="230">
        <f>Koond!AP16</f>
        <v>1.9090909090909096E-2</v>
      </c>
      <c r="E37" s="453">
        <v>0.02</v>
      </c>
    </row>
    <row r="38" spans="1:5">
      <c r="A38" s="340" t="s">
        <v>270</v>
      </c>
      <c r="B38" s="74" t="s">
        <v>48</v>
      </c>
      <c r="C38" s="230">
        <f>Koond!AP17</f>
        <v>6.4909090909090906E-3</v>
      </c>
      <c r="E38" s="452">
        <v>5.0000000000000001E-3</v>
      </c>
    </row>
    <row r="39" spans="1:5">
      <c r="A39" s="340" t="s">
        <v>266</v>
      </c>
      <c r="B39" s="250" t="s">
        <v>7</v>
      </c>
      <c r="C39" s="230">
        <f>Koond!AP18</f>
        <v>8.0909090909090917E-2</v>
      </c>
      <c r="E39" s="453">
        <v>0.08</v>
      </c>
    </row>
    <row r="40" spans="1:5">
      <c r="A40" s="335" t="s">
        <v>320</v>
      </c>
      <c r="B40" s="250" t="s">
        <v>292</v>
      </c>
      <c r="C40" s="230">
        <f>Koond!AP19</f>
        <v>3.5144514560048808E-2</v>
      </c>
      <c r="E40" s="452">
        <v>3.5999999999999997E-2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7"/>
  <sheetViews>
    <sheetView topLeftCell="A2" zoomScale="90" zoomScaleNormal="90" workbookViewId="0">
      <selection activeCell="U40" sqref="U40"/>
    </sheetView>
  </sheetViews>
  <sheetFormatPr defaultRowHeight="14.4"/>
  <cols>
    <col min="1" max="1" width="9.44140625" customWidth="1"/>
    <col min="2" max="2" width="11.6640625" hidden="1" customWidth="1"/>
    <col min="3" max="3" width="12.44140625" customWidth="1"/>
    <col min="4" max="4" width="25.5546875" customWidth="1"/>
    <col min="5" max="5" width="13.77734375" bestFit="1" customWidth="1"/>
    <col min="6" max="6" width="15.109375" bestFit="1" customWidth="1"/>
    <col min="7" max="7" width="17.44140625" customWidth="1"/>
    <col min="8" max="9" width="16.77734375" customWidth="1"/>
    <col min="10" max="10" width="14.77734375" customWidth="1"/>
    <col min="11" max="11" width="13.44140625" customWidth="1"/>
    <col min="12" max="12" width="16.109375" customWidth="1"/>
    <col min="13" max="13" width="17.33203125" customWidth="1"/>
    <col min="14" max="14" width="16.6640625" customWidth="1"/>
    <col min="15" max="15" width="20.5546875" customWidth="1"/>
    <col min="16" max="16" width="19.109375" customWidth="1"/>
    <col min="17" max="17" width="18.6640625" customWidth="1"/>
    <col min="18" max="18" width="22.6640625" customWidth="1"/>
    <col min="19" max="19" width="21.33203125" customWidth="1"/>
    <col min="20" max="20" width="19" customWidth="1"/>
    <col min="21" max="21" width="20.6640625" customWidth="1"/>
    <col min="22" max="22" width="18.44140625" customWidth="1"/>
    <col min="23" max="23" width="19.109375" customWidth="1"/>
    <col min="24" max="24" width="21.21875" customWidth="1"/>
    <col min="25" max="25" width="18.6640625" customWidth="1"/>
    <col min="26" max="26" width="17.21875" customWidth="1"/>
    <col min="27" max="28" width="20" customWidth="1"/>
  </cols>
  <sheetData>
    <row r="1" spans="1:29" ht="36" customHeight="1">
      <c r="B1" s="380" t="s">
        <v>282</v>
      </c>
      <c r="E1" t="s">
        <v>452</v>
      </c>
      <c r="G1">
        <v>770</v>
      </c>
      <c r="H1" t="s">
        <v>453</v>
      </c>
    </row>
    <row r="2" spans="1:29" s="384" customFormat="1" ht="130.80000000000001" customHeight="1">
      <c r="A2" s="381" t="s">
        <v>454</v>
      </c>
      <c r="B2" s="381"/>
      <c r="C2" s="381" t="s">
        <v>406</v>
      </c>
      <c r="D2" s="381" t="s">
        <v>41</v>
      </c>
      <c r="E2" s="381" t="s">
        <v>449</v>
      </c>
      <c r="F2" s="381" t="s">
        <v>407</v>
      </c>
      <c r="G2" s="381" t="s">
        <v>408</v>
      </c>
      <c r="H2" s="381" t="s">
        <v>409</v>
      </c>
      <c r="I2" s="381" t="s">
        <v>410</v>
      </c>
      <c r="J2" s="381" t="s">
        <v>411</v>
      </c>
      <c r="K2" s="381" t="s">
        <v>412</v>
      </c>
      <c r="L2" s="381" t="s">
        <v>413</v>
      </c>
      <c r="M2" s="381" t="s">
        <v>414</v>
      </c>
      <c r="N2" s="381" t="s">
        <v>415</v>
      </c>
      <c r="O2" s="381" t="s">
        <v>416</v>
      </c>
      <c r="P2" s="382" t="s">
        <v>417</v>
      </c>
      <c r="Q2" s="382" t="s">
        <v>418</v>
      </c>
      <c r="R2" s="382" t="s">
        <v>419</v>
      </c>
      <c r="S2" s="382" t="s">
        <v>420</v>
      </c>
      <c r="T2" s="382" t="s">
        <v>421</v>
      </c>
      <c r="U2" s="382" t="s">
        <v>422</v>
      </c>
      <c r="V2" s="382" t="s">
        <v>423</v>
      </c>
      <c r="W2" s="383" t="s">
        <v>424</v>
      </c>
      <c r="X2" s="382" t="s">
        <v>425</v>
      </c>
      <c r="Y2" s="382" t="s">
        <v>426</v>
      </c>
      <c r="Z2" s="382" t="s">
        <v>427</v>
      </c>
      <c r="AA2" s="382" t="s">
        <v>394</v>
      </c>
      <c r="AB2" s="382" t="s">
        <v>395</v>
      </c>
    </row>
    <row r="3" spans="1:29" s="366" customFormat="1" ht="23.4">
      <c r="A3" s="385"/>
      <c r="B3" s="385"/>
      <c r="C3" s="385"/>
      <c r="D3" s="385"/>
      <c r="E3" s="385"/>
      <c r="F3" s="385"/>
      <c r="G3" s="385"/>
      <c r="H3" s="385" t="s">
        <v>428</v>
      </c>
      <c r="I3" s="385" t="s">
        <v>429</v>
      </c>
      <c r="J3" s="385" t="s">
        <v>430</v>
      </c>
      <c r="K3" s="385" t="s">
        <v>397</v>
      </c>
      <c r="L3" s="385"/>
      <c r="M3" s="385" t="s">
        <v>431</v>
      </c>
      <c r="N3" s="385" t="s">
        <v>432</v>
      </c>
      <c r="O3" s="385"/>
      <c r="P3" s="386" t="s">
        <v>433</v>
      </c>
      <c r="Q3" s="386" t="s">
        <v>434</v>
      </c>
      <c r="R3" s="386" t="s">
        <v>398</v>
      </c>
      <c r="S3" s="386" t="s">
        <v>435</v>
      </c>
      <c r="T3" s="386" t="s">
        <v>436</v>
      </c>
      <c r="U3" s="386" t="s">
        <v>437</v>
      </c>
      <c r="V3" s="386" t="s">
        <v>438</v>
      </c>
      <c r="W3" s="375" t="s">
        <v>365</v>
      </c>
      <c r="X3" s="375"/>
      <c r="Y3" s="375"/>
      <c r="Z3" s="375"/>
      <c r="AA3" s="375"/>
      <c r="AB3" s="375"/>
    </row>
    <row r="4" spans="1:29" ht="23.4">
      <c r="A4" s="387">
        <v>1</v>
      </c>
      <c r="B4" s="387"/>
      <c r="C4" s="388">
        <v>23</v>
      </c>
      <c r="D4" s="388" t="s">
        <v>450</v>
      </c>
      <c r="E4" s="387" t="s">
        <v>293</v>
      </c>
      <c r="F4" s="389">
        <f>F63</f>
        <v>236.31431859279957</v>
      </c>
      <c r="G4" s="345">
        <v>1E-3</v>
      </c>
      <c r="H4" s="345">
        <f>Kogused!$C$18</f>
        <v>365</v>
      </c>
      <c r="I4" s="347">
        <v>254.49</v>
      </c>
      <c r="J4" s="347">
        <v>0.73</v>
      </c>
      <c r="K4" s="348">
        <f>(I4*J4)/(L4*M4)</f>
        <v>6.3300750091487043E-2</v>
      </c>
      <c r="L4" s="347">
        <v>8.3140000000000001</v>
      </c>
      <c r="M4" s="347">
        <v>353</v>
      </c>
      <c r="N4" s="348">
        <f>1/(1+(O4*J4*(T4-(T4*U4))))</f>
        <v>0.98293539619756953</v>
      </c>
      <c r="O4" s="347">
        <v>2.53E-2</v>
      </c>
      <c r="P4" s="348">
        <f>3.14*(S4*S4)*(T4-(T4*U4))/4</f>
        <v>4.6118749999999995</v>
      </c>
      <c r="Q4" s="347">
        <v>4.2999999999999997E-2</v>
      </c>
      <c r="R4" s="347">
        <v>0</v>
      </c>
      <c r="S4" s="348">
        <v>2.5</v>
      </c>
      <c r="T4" s="345">
        <v>4.7</v>
      </c>
      <c r="U4" s="345">
        <v>0.8</v>
      </c>
      <c r="V4" s="265">
        <f>H4*P4*K4*Q4*N4*1</f>
        <v>4.5037334436752703</v>
      </c>
      <c r="W4" s="345">
        <v>8760</v>
      </c>
      <c r="X4" s="265">
        <v>0.03</v>
      </c>
      <c r="Y4" s="390">
        <f>Z4*1000000/(3600*W4)</f>
        <v>1.4281245064926658E-4</v>
      </c>
      <c r="Z4" s="390">
        <f>V4/1000</f>
        <v>4.5037334436752703E-3</v>
      </c>
      <c r="AA4" s="390">
        <f>AB4*1000000/(3600*W4)</f>
        <v>4.284373519477997E-6</v>
      </c>
      <c r="AB4" s="390">
        <f>Z4*X4</f>
        <v>1.351120033102581E-4</v>
      </c>
      <c r="AC4" s="391"/>
    </row>
    <row r="5" spans="1:29" ht="23.4">
      <c r="A5" s="387">
        <v>2</v>
      </c>
      <c r="B5" s="387"/>
      <c r="C5" s="388">
        <v>26</v>
      </c>
      <c r="D5" s="388" t="s">
        <v>450</v>
      </c>
      <c r="E5" s="387" t="s">
        <v>293</v>
      </c>
      <c r="F5" s="389">
        <f t="shared" ref="F5:F26" si="0">F64</f>
        <v>267.13792536577341</v>
      </c>
      <c r="G5" s="345">
        <v>1E-3</v>
      </c>
      <c r="H5" s="345">
        <f>Kogused!$C$18</f>
        <v>365</v>
      </c>
      <c r="I5" s="347">
        <v>254.49</v>
      </c>
      <c r="J5" s="347">
        <v>0.73</v>
      </c>
      <c r="K5" s="348">
        <f t="shared" ref="K5:K26" si="1">(I5*J5)/(L5*M5)</f>
        <v>6.3300750091487043E-2</v>
      </c>
      <c r="L5" s="347">
        <v>8.3140000000000001</v>
      </c>
      <c r="M5" s="347">
        <v>353</v>
      </c>
      <c r="N5" s="348">
        <f t="shared" ref="N5:N26" si="2">1/(1+(O5*J5*(T5-(T5*U5))))</f>
        <v>0.98072770419325506</v>
      </c>
      <c r="O5" s="347">
        <v>2.53E-2</v>
      </c>
      <c r="P5" s="348">
        <f t="shared" ref="P5:P26" si="3">3.14*(S5*S5)*(T5-(T5*U5))/4</f>
        <v>5.2202500000000001</v>
      </c>
      <c r="Q5" s="347">
        <v>4.2999999999999997E-2</v>
      </c>
      <c r="R5" s="347">
        <v>0</v>
      </c>
      <c r="S5" s="348">
        <v>2.5</v>
      </c>
      <c r="T5" s="345">
        <v>5.32</v>
      </c>
      <c r="U5" s="345">
        <v>0.8</v>
      </c>
      <c r="V5" s="265">
        <f t="shared" ref="V5:V26" si="4">H5*P5*K5*Q5*N5*1</f>
        <v>5.086393107402654</v>
      </c>
      <c r="W5" s="345">
        <v>8760</v>
      </c>
      <c r="X5" s="265">
        <v>0.03</v>
      </c>
      <c r="Y5" s="390">
        <f t="shared" ref="Y5:Y26" si="5">Z5*1000000/(3600*W5)</f>
        <v>1.6128846738339213E-4</v>
      </c>
      <c r="Z5" s="390">
        <f t="shared" ref="Z5:Z26" si="6">V5/1000</f>
        <v>5.0863931074026543E-3</v>
      </c>
      <c r="AA5" s="390">
        <f t="shared" ref="AA5:AA26" si="7">AB5*1000000/(3600*W5)</f>
        <v>4.8386540215017636E-6</v>
      </c>
      <c r="AB5" s="390">
        <f t="shared" ref="AB5:AB26" si="8">Z5*X5</f>
        <v>1.5259179322207962E-4</v>
      </c>
      <c r="AC5" s="391"/>
    </row>
    <row r="6" spans="1:29" ht="23.4">
      <c r="A6" s="387">
        <v>3</v>
      </c>
      <c r="B6" s="387"/>
      <c r="C6" s="388">
        <v>26</v>
      </c>
      <c r="D6" s="388" t="s">
        <v>450</v>
      </c>
      <c r="E6" s="387" t="s">
        <v>293</v>
      </c>
      <c r="F6" s="389">
        <f t="shared" si="0"/>
        <v>267.13792536577341</v>
      </c>
      <c r="G6" s="345">
        <v>1E-3</v>
      </c>
      <c r="H6" s="345">
        <f>Kogused!$C$18</f>
        <v>365</v>
      </c>
      <c r="I6" s="347">
        <v>254.49</v>
      </c>
      <c r="J6" s="347">
        <v>0.73</v>
      </c>
      <c r="K6" s="348">
        <f t="shared" si="1"/>
        <v>6.3300750091487043E-2</v>
      </c>
      <c r="L6" s="347">
        <v>8.3140000000000001</v>
      </c>
      <c r="M6" s="347">
        <v>353</v>
      </c>
      <c r="N6" s="348">
        <f t="shared" si="2"/>
        <v>0.98072770419325506</v>
      </c>
      <c r="O6" s="347">
        <v>2.53E-2</v>
      </c>
      <c r="P6" s="348">
        <f t="shared" si="3"/>
        <v>5.2202500000000001</v>
      </c>
      <c r="Q6" s="347">
        <v>4.2999999999999997E-2</v>
      </c>
      <c r="R6" s="347">
        <v>0</v>
      </c>
      <c r="S6" s="348">
        <v>2.5</v>
      </c>
      <c r="T6" s="345">
        <v>5.32</v>
      </c>
      <c r="U6" s="345">
        <v>0.8</v>
      </c>
      <c r="V6" s="265">
        <f t="shared" si="4"/>
        <v>5.086393107402654</v>
      </c>
      <c r="W6" s="345">
        <v>8760</v>
      </c>
      <c r="X6" s="265">
        <v>0.03</v>
      </c>
      <c r="Y6" s="390">
        <f t="shared" si="5"/>
        <v>1.6128846738339213E-4</v>
      </c>
      <c r="Z6" s="390">
        <f t="shared" si="6"/>
        <v>5.0863931074026543E-3</v>
      </c>
      <c r="AA6" s="390">
        <f t="shared" si="7"/>
        <v>4.8386540215017636E-6</v>
      </c>
      <c r="AB6" s="390">
        <f t="shared" si="8"/>
        <v>1.5259179322207962E-4</v>
      </c>
      <c r="AC6" s="391"/>
    </row>
    <row r="7" spans="1:29" ht="23.4">
      <c r="A7" s="387">
        <v>4</v>
      </c>
      <c r="B7" s="387"/>
      <c r="C7" s="388">
        <v>26</v>
      </c>
      <c r="D7" s="388" t="s">
        <v>450</v>
      </c>
      <c r="E7" s="387" t="s">
        <v>293</v>
      </c>
      <c r="F7" s="389">
        <f t="shared" si="0"/>
        <v>267.13792536577341</v>
      </c>
      <c r="G7" s="345">
        <v>1E-3</v>
      </c>
      <c r="H7" s="345">
        <f>Kogused!$C$18</f>
        <v>365</v>
      </c>
      <c r="I7" s="347">
        <v>254.49</v>
      </c>
      <c r="J7" s="347">
        <v>0.73</v>
      </c>
      <c r="K7" s="348">
        <f t="shared" si="1"/>
        <v>6.3300750091487043E-2</v>
      </c>
      <c r="L7" s="347">
        <v>8.3140000000000001</v>
      </c>
      <c r="M7" s="347">
        <v>353</v>
      </c>
      <c r="N7" s="348">
        <f t="shared" si="2"/>
        <v>0.98072770419325506</v>
      </c>
      <c r="O7" s="347">
        <v>2.53E-2</v>
      </c>
      <c r="P7" s="348">
        <f t="shared" si="3"/>
        <v>5.2202500000000001</v>
      </c>
      <c r="Q7" s="347">
        <v>4.2999999999999997E-2</v>
      </c>
      <c r="R7" s="347">
        <v>0</v>
      </c>
      <c r="S7" s="348">
        <v>2.5</v>
      </c>
      <c r="T7" s="345">
        <v>5.32</v>
      </c>
      <c r="U7" s="345">
        <v>0.8</v>
      </c>
      <c r="V7" s="265">
        <f t="shared" si="4"/>
        <v>5.086393107402654</v>
      </c>
      <c r="W7" s="345">
        <v>8760</v>
      </c>
      <c r="X7" s="265">
        <v>0.03</v>
      </c>
      <c r="Y7" s="390">
        <f t="shared" si="5"/>
        <v>1.6128846738339213E-4</v>
      </c>
      <c r="Z7" s="390">
        <f t="shared" si="6"/>
        <v>5.0863931074026543E-3</v>
      </c>
      <c r="AA7" s="390">
        <f t="shared" si="7"/>
        <v>4.8386540215017636E-6</v>
      </c>
      <c r="AB7" s="390">
        <f t="shared" si="8"/>
        <v>1.5259179322207962E-4</v>
      </c>
      <c r="AC7" s="391"/>
    </row>
    <row r="8" spans="1:29" ht="23.4">
      <c r="A8" s="387">
        <v>5</v>
      </c>
      <c r="B8" s="387"/>
      <c r="C8" s="388">
        <v>26</v>
      </c>
      <c r="D8" s="388" t="s">
        <v>450</v>
      </c>
      <c r="E8" s="387" t="s">
        <v>293</v>
      </c>
      <c r="F8" s="389">
        <f t="shared" si="0"/>
        <v>267.13792536577341</v>
      </c>
      <c r="G8" s="345">
        <v>1E-3</v>
      </c>
      <c r="H8" s="345">
        <f>Kogused!$C$18</f>
        <v>365</v>
      </c>
      <c r="I8" s="347">
        <v>254.49</v>
      </c>
      <c r="J8" s="347">
        <v>0.73</v>
      </c>
      <c r="K8" s="348">
        <f t="shared" si="1"/>
        <v>6.3300750091487043E-2</v>
      </c>
      <c r="L8" s="347">
        <v>8.3140000000000001</v>
      </c>
      <c r="M8" s="347">
        <v>353</v>
      </c>
      <c r="N8" s="348">
        <f t="shared" si="2"/>
        <v>0.98072770419325506</v>
      </c>
      <c r="O8" s="347">
        <v>2.53E-2</v>
      </c>
      <c r="P8" s="348">
        <f t="shared" si="3"/>
        <v>5.2202500000000001</v>
      </c>
      <c r="Q8" s="347">
        <v>4.2999999999999997E-2</v>
      </c>
      <c r="R8" s="347">
        <v>0</v>
      </c>
      <c r="S8" s="348">
        <v>2.5</v>
      </c>
      <c r="T8" s="345">
        <v>5.32</v>
      </c>
      <c r="U8" s="345">
        <v>0.8</v>
      </c>
      <c r="V8" s="265">
        <f t="shared" si="4"/>
        <v>5.086393107402654</v>
      </c>
      <c r="W8" s="345">
        <v>8760</v>
      </c>
      <c r="X8" s="265">
        <v>0.03</v>
      </c>
      <c r="Y8" s="390">
        <f t="shared" si="5"/>
        <v>1.6128846738339213E-4</v>
      </c>
      <c r="Z8" s="390">
        <f t="shared" si="6"/>
        <v>5.0863931074026543E-3</v>
      </c>
      <c r="AA8" s="390">
        <f t="shared" si="7"/>
        <v>4.8386540215017636E-6</v>
      </c>
      <c r="AB8" s="390">
        <f t="shared" si="8"/>
        <v>1.5259179322207962E-4</v>
      </c>
      <c r="AC8" s="391"/>
    </row>
    <row r="9" spans="1:29" ht="23.4">
      <c r="A9" s="387">
        <v>6</v>
      </c>
      <c r="B9" s="387"/>
      <c r="C9" s="388">
        <v>26</v>
      </c>
      <c r="D9" s="388" t="s">
        <v>450</v>
      </c>
      <c r="E9" s="387" t="s">
        <v>293</v>
      </c>
      <c r="F9" s="389">
        <f t="shared" si="0"/>
        <v>267.13792536577341</v>
      </c>
      <c r="G9" s="345">
        <v>1E-3</v>
      </c>
      <c r="H9" s="345">
        <f>Kogused!$C$18</f>
        <v>365</v>
      </c>
      <c r="I9" s="347">
        <v>254.49</v>
      </c>
      <c r="J9" s="347">
        <v>0.73</v>
      </c>
      <c r="K9" s="348">
        <f t="shared" si="1"/>
        <v>6.3300750091487043E-2</v>
      </c>
      <c r="L9" s="347">
        <v>8.3140000000000001</v>
      </c>
      <c r="M9" s="347">
        <v>353</v>
      </c>
      <c r="N9" s="348">
        <f t="shared" si="2"/>
        <v>0.98072770419325506</v>
      </c>
      <c r="O9" s="347">
        <v>2.53E-2</v>
      </c>
      <c r="P9" s="348">
        <f t="shared" si="3"/>
        <v>5.2202500000000001</v>
      </c>
      <c r="Q9" s="347">
        <v>4.2999999999999997E-2</v>
      </c>
      <c r="R9" s="347">
        <v>0</v>
      </c>
      <c r="S9" s="348">
        <v>2.5</v>
      </c>
      <c r="T9" s="345">
        <v>5.32</v>
      </c>
      <c r="U9" s="345">
        <v>0.8</v>
      </c>
      <c r="V9" s="265">
        <f t="shared" si="4"/>
        <v>5.086393107402654</v>
      </c>
      <c r="W9" s="345">
        <v>8760</v>
      </c>
      <c r="X9" s="265">
        <v>0.03</v>
      </c>
      <c r="Y9" s="390">
        <f t="shared" si="5"/>
        <v>1.6128846738339213E-4</v>
      </c>
      <c r="Z9" s="390">
        <f t="shared" si="6"/>
        <v>5.0863931074026543E-3</v>
      </c>
      <c r="AA9" s="390">
        <f t="shared" si="7"/>
        <v>4.8386540215017636E-6</v>
      </c>
      <c r="AB9" s="390">
        <f t="shared" si="8"/>
        <v>1.5259179322207962E-4</v>
      </c>
      <c r="AC9" s="391"/>
    </row>
    <row r="10" spans="1:29" ht="23.4">
      <c r="A10" s="387">
        <v>7</v>
      </c>
      <c r="B10" s="387"/>
      <c r="C10" s="388">
        <v>26</v>
      </c>
      <c r="D10" s="388" t="s">
        <v>450</v>
      </c>
      <c r="E10" s="387" t="s">
        <v>293</v>
      </c>
      <c r="F10" s="389">
        <f t="shared" si="0"/>
        <v>267.13792536577341</v>
      </c>
      <c r="G10" s="345">
        <v>1E-3</v>
      </c>
      <c r="H10" s="345">
        <f>Kogused!$C$18</f>
        <v>365</v>
      </c>
      <c r="I10" s="347">
        <v>254.49</v>
      </c>
      <c r="J10" s="347">
        <v>0.73</v>
      </c>
      <c r="K10" s="348">
        <f t="shared" si="1"/>
        <v>6.3300750091487043E-2</v>
      </c>
      <c r="L10" s="347">
        <v>8.3140000000000001</v>
      </c>
      <c r="M10" s="347">
        <v>353</v>
      </c>
      <c r="N10" s="348">
        <f t="shared" si="2"/>
        <v>0.98072770419325506</v>
      </c>
      <c r="O10" s="347">
        <v>2.53E-2</v>
      </c>
      <c r="P10" s="348">
        <f t="shared" si="3"/>
        <v>5.2202500000000001</v>
      </c>
      <c r="Q10" s="347">
        <v>4.2999999999999997E-2</v>
      </c>
      <c r="R10" s="347">
        <v>0</v>
      </c>
      <c r="S10" s="348">
        <v>2.5</v>
      </c>
      <c r="T10" s="345">
        <v>5.32</v>
      </c>
      <c r="U10" s="345">
        <v>0.8</v>
      </c>
      <c r="V10" s="265">
        <f t="shared" si="4"/>
        <v>5.086393107402654</v>
      </c>
      <c r="W10" s="345">
        <v>8760</v>
      </c>
      <c r="X10" s="265">
        <v>0.03</v>
      </c>
      <c r="Y10" s="390">
        <f t="shared" si="5"/>
        <v>1.6128846738339213E-4</v>
      </c>
      <c r="Z10" s="390">
        <f t="shared" si="6"/>
        <v>5.0863931074026543E-3</v>
      </c>
      <c r="AA10" s="390">
        <f t="shared" si="7"/>
        <v>4.8386540215017636E-6</v>
      </c>
      <c r="AB10" s="390">
        <f t="shared" si="8"/>
        <v>1.5259179322207962E-4</v>
      </c>
      <c r="AC10" s="391"/>
    </row>
    <row r="11" spans="1:29" ht="23.4">
      <c r="A11" s="387">
        <v>8</v>
      </c>
      <c r="B11" s="387"/>
      <c r="C11" s="388">
        <v>26</v>
      </c>
      <c r="D11" s="388" t="s">
        <v>450</v>
      </c>
      <c r="E11" s="387" t="s">
        <v>293</v>
      </c>
      <c r="F11" s="389">
        <f t="shared" si="0"/>
        <v>267.13792536577341</v>
      </c>
      <c r="G11" s="345">
        <v>1E-3</v>
      </c>
      <c r="H11" s="345">
        <f>Kogused!$C$18</f>
        <v>365</v>
      </c>
      <c r="I11" s="347">
        <v>254.49</v>
      </c>
      <c r="J11" s="347">
        <v>0.73</v>
      </c>
      <c r="K11" s="348">
        <f t="shared" si="1"/>
        <v>6.3300750091487043E-2</v>
      </c>
      <c r="L11" s="347">
        <v>8.3140000000000001</v>
      </c>
      <c r="M11" s="347">
        <v>353</v>
      </c>
      <c r="N11" s="348">
        <f t="shared" si="2"/>
        <v>0.98072770419325506</v>
      </c>
      <c r="O11" s="347">
        <v>2.53E-2</v>
      </c>
      <c r="P11" s="348">
        <f t="shared" si="3"/>
        <v>5.2202500000000001</v>
      </c>
      <c r="Q11" s="347">
        <v>4.2999999999999997E-2</v>
      </c>
      <c r="R11" s="347">
        <v>0</v>
      </c>
      <c r="S11" s="348">
        <v>2.5</v>
      </c>
      <c r="T11" s="345">
        <v>5.32</v>
      </c>
      <c r="U11" s="345">
        <v>0.8</v>
      </c>
      <c r="V11" s="265">
        <f t="shared" si="4"/>
        <v>5.086393107402654</v>
      </c>
      <c r="W11" s="345">
        <v>8760</v>
      </c>
      <c r="X11" s="265">
        <v>0.03</v>
      </c>
      <c r="Y11" s="390">
        <f t="shared" si="5"/>
        <v>1.6128846738339213E-4</v>
      </c>
      <c r="Z11" s="390">
        <f t="shared" si="6"/>
        <v>5.0863931074026543E-3</v>
      </c>
      <c r="AA11" s="390">
        <f t="shared" si="7"/>
        <v>4.8386540215017636E-6</v>
      </c>
      <c r="AB11" s="390">
        <f t="shared" si="8"/>
        <v>1.5259179322207962E-4</v>
      </c>
      <c r="AC11" s="391"/>
    </row>
    <row r="12" spans="1:29" ht="23.4">
      <c r="A12" s="387">
        <v>9</v>
      </c>
      <c r="B12" s="387"/>
      <c r="C12" s="388">
        <v>26</v>
      </c>
      <c r="D12" s="388" t="s">
        <v>450</v>
      </c>
      <c r="E12" s="387" t="s">
        <v>293</v>
      </c>
      <c r="F12" s="389">
        <f t="shared" si="0"/>
        <v>267.13792536577341</v>
      </c>
      <c r="G12" s="345">
        <v>1E-3</v>
      </c>
      <c r="H12" s="345">
        <f>Kogused!$C$18</f>
        <v>365</v>
      </c>
      <c r="I12" s="347">
        <v>254.49</v>
      </c>
      <c r="J12" s="347">
        <v>0.73</v>
      </c>
      <c r="K12" s="348">
        <f t="shared" si="1"/>
        <v>6.3300750091487043E-2</v>
      </c>
      <c r="L12" s="347">
        <v>8.3140000000000001</v>
      </c>
      <c r="M12" s="347">
        <v>353</v>
      </c>
      <c r="N12" s="348">
        <f t="shared" si="2"/>
        <v>0.98072770419325506</v>
      </c>
      <c r="O12" s="347">
        <v>2.53E-2</v>
      </c>
      <c r="P12" s="348">
        <f t="shared" si="3"/>
        <v>5.2202500000000001</v>
      </c>
      <c r="Q12" s="347">
        <v>4.2999999999999997E-2</v>
      </c>
      <c r="R12" s="347">
        <v>0</v>
      </c>
      <c r="S12" s="348">
        <v>2.5</v>
      </c>
      <c r="T12" s="345">
        <v>5.32</v>
      </c>
      <c r="U12" s="345">
        <v>0.8</v>
      </c>
      <c r="V12" s="265">
        <f t="shared" si="4"/>
        <v>5.086393107402654</v>
      </c>
      <c r="W12" s="345">
        <v>8760</v>
      </c>
      <c r="X12" s="265">
        <v>0.03</v>
      </c>
      <c r="Y12" s="390">
        <f t="shared" si="5"/>
        <v>1.6128846738339213E-4</v>
      </c>
      <c r="Z12" s="390">
        <f t="shared" si="6"/>
        <v>5.0863931074026543E-3</v>
      </c>
      <c r="AA12" s="390">
        <f t="shared" si="7"/>
        <v>4.8386540215017636E-6</v>
      </c>
      <c r="AB12" s="390">
        <f t="shared" si="8"/>
        <v>1.5259179322207962E-4</v>
      </c>
      <c r="AC12" s="391"/>
    </row>
    <row r="13" spans="1:29" ht="23.4">
      <c r="A13" s="387">
        <v>10</v>
      </c>
      <c r="B13" s="387"/>
      <c r="C13" s="388">
        <v>26</v>
      </c>
      <c r="D13" s="388" t="s">
        <v>450</v>
      </c>
      <c r="E13" s="387" t="s">
        <v>293</v>
      </c>
      <c r="F13" s="389">
        <f t="shared" si="0"/>
        <v>267.13792536577341</v>
      </c>
      <c r="G13" s="345">
        <v>1E-3</v>
      </c>
      <c r="H13" s="345">
        <f>Kogused!$C$18</f>
        <v>365</v>
      </c>
      <c r="I13" s="347">
        <v>254.49</v>
      </c>
      <c r="J13" s="347">
        <v>0.73</v>
      </c>
      <c r="K13" s="348">
        <f t="shared" si="1"/>
        <v>6.3300750091487043E-2</v>
      </c>
      <c r="L13" s="347">
        <v>8.3140000000000001</v>
      </c>
      <c r="M13" s="347">
        <v>353</v>
      </c>
      <c r="N13" s="348">
        <f t="shared" si="2"/>
        <v>0.98072770419325506</v>
      </c>
      <c r="O13" s="347">
        <v>2.53E-2</v>
      </c>
      <c r="P13" s="348">
        <f t="shared" si="3"/>
        <v>5.2202500000000001</v>
      </c>
      <c r="Q13" s="347">
        <v>4.2999999999999997E-2</v>
      </c>
      <c r="R13" s="347">
        <v>0</v>
      </c>
      <c r="S13" s="348">
        <v>2.5</v>
      </c>
      <c r="T13" s="345">
        <v>5.32</v>
      </c>
      <c r="U13" s="345">
        <v>0.8</v>
      </c>
      <c r="V13" s="265">
        <f t="shared" si="4"/>
        <v>5.086393107402654</v>
      </c>
      <c r="W13" s="345">
        <v>8760</v>
      </c>
      <c r="X13" s="265">
        <v>0.03</v>
      </c>
      <c r="Y13" s="390">
        <f t="shared" si="5"/>
        <v>1.6128846738339213E-4</v>
      </c>
      <c r="Z13" s="390">
        <f t="shared" si="6"/>
        <v>5.0863931074026543E-3</v>
      </c>
      <c r="AA13" s="390">
        <f t="shared" si="7"/>
        <v>4.8386540215017636E-6</v>
      </c>
      <c r="AB13" s="390">
        <f t="shared" si="8"/>
        <v>1.5259179322207962E-4</v>
      </c>
      <c r="AC13" s="391"/>
    </row>
    <row r="14" spans="1:29" ht="23.4">
      <c r="A14" s="387">
        <v>11</v>
      </c>
      <c r="B14" s="387"/>
      <c r="C14" s="388">
        <v>50</v>
      </c>
      <c r="D14" s="388" t="s">
        <v>451</v>
      </c>
      <c r="E14" s="387" t="s">
        <v>293</v>
      </c>
      <c r="F14" s="389">
        <f t="shared" si="0"/>
        <v>513.72677954956441</v>
      </c>
      <c r="G14" s="345">
        <v>1E-3</v>
      </c>
      <c r="H14" s="345">
        <f>Kogused!$C$18</f>
        <v>365</v>
      </c>
      <c r="I14" s="347">
        <v>254.49</v>
      </c>
      <c r="J14" s="347">
        <v>0.73</v>
      </c>
      <c r="K14" s="348">
        <f t="shared" si="1"/>
        <v>6.3300750091487043E-2</v>
      </c>
      <c r="L14" s="347">
        <v>8.3140000000000001</v>
      </c>
      <c r="M14" s="347">
        <v>353</v>
      </c>
      <c r="N14" s="348">
        <f t="shared" si="2"/>
        <v>0.97060130187140869</v>
      </c>
      <c r="O14" s="347">
        <v>2.53E-2</v>
      </c>
      <c r="P14" s="348">
        <f t="shared" si="3"/>
        <v>10.093215999999998</v>
      </c>
      <c r="Q14" s="347">
        <v>4.2999999999999997E-2</v>
      </c>
      <c r="R14" s="347">
        <v>0</v>
      </c>
      <c r="S14" s="348">
        <v>2.8</v>
      </c>
      <c r="T14" s="345">
        <v>8.1999999999999993</v>
      </c>
      <c r="U14" s="345">
        <v>0.8</v>
      </c>
      <c r="V14" s="265">
        <f t="shared" si="4"/>
        <v>9.7328630676436294</v>
      </c>
      <c r="W14" s="345">
        <v>8760</v>
      </c>
      <c r="X14" s="265">
        <v>0.03</v>
      </c>
      <c r="Y14" s="390">
        <f t="shared" si="5"/>
        <v>3.0862706328144439E-4</v>
      </c>
      <c r="Z14" s="390">
        <f t="shared" si="6"/>
        <v>9.7328630676436299E-3</v>
      </c>
      <c r="AA14" s="390">
        <f t="shared" si="7"/>
        <v>9.2588118984433311E-6</v>
      </c>
      <c r="AB14" s="390">
        <f t="shared" si="8"/>
        <v>2.919858920293089E-4</v>
      </c>
      <c r="AC14" s="391"/>
    </row>
    <row r="15" spans="1:29" ht="23.4">
      <c r="A15" s="387">
        <v>12</v>
      </c>
      <c r="B15" s="387"/>
      <c r="C15" s="388">
        <v>50</v>
      </c>
      <c r="D15" s="388" t="s">
        <v>451</v>
      </c>
      <c r="E15" s="387" t="s">
        <v>293</v>
      </c>
      <c r="F15" s="389">
        <f t="shared" si="0"/>
        <v>513.72677954956441</v>
      </c>
      <c r="G15" s="345">
        <v>1E-3</v>
      </c>
      <c r="H15" s="345">
        <f>Kogused!$C$18</f>
        <v>365</v>
      </c>
      <c r="I15" s="347">
        <v>254.49</v>
      </c>
      <c r="J15" s="347">
        <v>0.73</v>
      </c>
      <c r="K15" s="348">
        <f t="shared" si="1"/>
        <v>6.3300750091487043E-2</v>
      </c>
      <c r="L15" s="347">
        <v>8.3140000000000001</v>
      </c>
      <c r="M15" s="347">
        <v>353</v>
      </c>
      <c r="N15" s="348">
        <f t="shared" si="2"/>
        <v>0.97060130187140869</v>
      </c>
      <c r="O15" s="347">
        <v>2.53E-2</v>
      </c>
      <c r="P15" s="348">
        <f t="shared" si="3"/>
        <v>10.093215999999998</v>
      </c>
      <c r="Q15" s="347">
        <v>4.2999999999999997E-2</v>
      </c>
      <c r="R15" s="347">
        <v>0</v>
      </c>
      <c r="S15" s="348">
        <v>2.8</v>
      </c>
      <c r="T15" s="345">
        <v>8.1999999999999993</v>
      </c>
      <c r="U15" s="345">
        <v>0.8</v>
      </c>
      <c r="V15" s="265">
        <f t="shared" si="4"/>
        <v>9.7328630676436294</v>
      </c>
      <c r="W15" s="345">
        <v>8760</v>
      </c>
      <c r="X15" s="265">
        <v>0.03</v>
      </c>
      <c r="Y15" s="390">
        <f t="shared" si="5"/>
        <v>3.0862706328144439E-4</v>
      </c>
      <c r="Z15" s="390">
        <f t="shared" si="6"/>
        <v>9.7328630676436299E-3</v>
      </c>
      <c r="AA15" s="390">
        <f t="shared" si="7"/>
        <v>9.2588118984433311E-6</v>
      </c>
      <c r="AB15" s="390">
        <f t="shared" si="8"/>
        <v>2.919858920293089E-4</v>
      </c>
      <c r="AC15" s="391"/>
    </row>
    <row r="16" spans="1:29" ht="23.4">
      <c r="A16" s="387">
        <v>13</v>
      </c>
      <c r="B16" s="387"/>
      <c r="C16" s="388">
        <v>25</v>
      </c>
      <c r="D16" s="388" t="s">
        <v>456</v>
      </c>
      <c r="E16" s="387" t="s">
        <v>293</v>
      </c>
      <c r="F16" s="389">
        <f t="shared" si="0"/>
        <v>256.86338977478221</v>
      </c>
      <c r="G16" s="345">
        <v>1E-3</v>
      </c>
      <c r="H16" s="345">
        <f>Kogused!$C$18</f>
        <v>365</v>
      </c>
      <c r="I16" s="347">
        <v>254.49</v>
      </c>
      <c r="J16" s="347">
        <v>0.73</v>
      </c>
      <c r="K16" s="348">
        <f t="shared" si="1"/>
        <v>6.3300750091487043E-2</v>
      </c>
      <c r="L16" s="347">
        <v>8.3140000000000001</v>
      </c>
      <c r="M16" s="347">
        <v>353</v>
      </c>
      <c r="N16" s="348">
        <f t="shared" si="2"/>
        <v>0.98508135658863483</v>
      </c>
      <c r="O16" s="347">
        <v>2.53E-2</v>
      </c>
      <c r="P16" s="348">
        <f t="shared" si="3"/>
        <v>5.0466079999999991</v>
      </c>
      <c r="Q16" s="347">
        <v>4.2999999999999997E-2</v>
      </c>
      <c r="R16" s="347">
        <v>0</v>
      </c>
      <c r="S16" s="348">
        <v>2.8</v>
      </c>
      <c r="T16" s="345">
        <v>4.0999999999999996</v>
      </c>
      <c r="U16" s="345">
        <v>0.8</v>
      </c>
      <c r="V16" s="265">
        <f t="shared" si="4"/>
        <v>4.9390320905607243</v>
      </c>
      <c r="W16" s="345">
        <v>8760</v>
      </c>
      <c r="X16" s="265">
        <v>0.03</v>
      </c>
      <c r="Y16" s="390">
        <f t="shared" si="5"/>
        <v>1.566156801928185E-4</v>
      </c>
      <c r="Z16" s="390">
        <f t="shared" si="6"/>
        <v>4.9390320905607242E-3</v>
      </c>
      <c r="AA16" s="390">
        <f t="shared" si="7"/>
        <v>4.6984704057845551E-6</v>
      </c>
      <c r="AB16" s="390">
        <f t="shared" si="8"/>
        <v>1.4817096271682172E-4</v>
      </c>
      <c r="AC16" s="391"/>
    </row>
    <row r="17" spans="1:29" ht="23.4">
      <c r="A17" s="387">
        <v>14</v>
      </c>
      <c r="B17" s="387"/>
      <c r="C17" s="388">
        <v>25</v>
      </c>
      <c r="D17" s="388" t="s">
        <v>456</v>
      </c>
      <c r="E17" s="387" t="s">
        <v>293</v>
      </c>
      <c r="F17" s="389">
        <f t="shared" si="0"/>
        <v>256.86338977478221</v>
      </c>
      <c r="G17" s="345">
        <v>1E-3</v>
      </c>
      <c r="H17" s="345">
        <f>Kogused!$C$18</f>
        <v>365</v>
      </c>
      <c r="I17" s="347">
        <v>254.49</v>
      </c>
      <c r="J17" s="347">
        <v>0.73</v>
      </c>
      <c r="K17" s="348">
        <f t="shared" si="1"/>
        <v>6.3300750091487043E-2</v>
      </c>
      <c r="L17" s="347">
        <v>8.3140000000000001</v>
      </c>
      <c r="M17" s="347">
        <v>353</v>
      </c>
      <c r="N17" s="348">
        <f t="shared" si="2"/>
        <v>0.98508135658863483</v>
      </c>
      <c r="O17" s="347">
        <v>2.53E-2</v>
      </c>
      <c r="P17" s="348">
        <f t="shared" si="3"/>
        <v>5.0466079999999991</v>
      </c>
      <c r="Q17" s="347">
        <v>4.2999999999999997E-2</v>
      </c>
      <c r="R17" s="347">
        <v>0</v>
      </c>
      <c r="S17" s="348">
        <v>2.8</v>
      </c>
      <c r="T17" s="345">
        <v>4.0999999999999996</v>
      </c>
      <c r="U17" s="345">
        <v>0.8</v>
      </c>
      <c r="V17" s="265">
        <f t="shared" si="4"/>
        <v>4.9390320905607243</v>
      </c>
      <c r="W17" s="345">
        <v>8760</v>
      </c>
      <c r="X17" s="265">
        <v>0.03</v>
      </c>
      <c r="Y17" s="390">
        <f t="shared" si="5"/>
        <v>1.566156801928185E-4</v>
      </c>
      <c r="Z17" s="390">
        <f t="shared" si="6"/>
        <v>4.9390320905607242E-3</v>
      </c>
      <c r="AA17" s="390">
        <f t="shared" si="7"/>
        <v>4.6984704057845551E-6</v>
      </c>
      <c r="AB17" s="390">
        <f t="shared" si="8"/>
        <v>1.4817096271682172E-4</v>
      </c>
      <c r="AC17" s="391"/>
    </row>
    <row r="18" spans="1:29" ht="23.4">
      <c r="A18" s="387">
        <v>15</v>
      </c>
      <c r="B18" s="387"/>
      <c r="C18" s="388">
        <v>25</v>
      </c>
      <c r="D18" s="388" t="s">
        <v>456</v>
      </c>
      <c r="E18" s="387" t="s">
        <v>293</v>
      </c>
      <c r="F18" s="389">
        <f t="shared" si="0"/>
        <v>256.86338977478221</v>
      </c>
      <c r="G18" s="345">
        <v>1E-3</v>
      </c>
      <c r="H18" s="345">
        <f>Kogused!$C$18</f>
        <v>365</v>
      </c>
      <c r="I18" s="347">
        <v>254.49</v>
      </c>
      <c r="J18" s="347">
        <v>0.73</v>
      </c>
      <c r="K18" s="348">
        <f t="shared" si="1"/>
        <v>6.3300750091487043E-2</v>
      </c>
      <c r="L18" s="347">
        <v>8.3140000000000001</v>
      </c>
      <c r="M18" s="347">
        <v>353</v>
      </c>
      <c r="N18" s="348">
        <f t="shared" si="2"/>
        <v>0.98508135658863483</v>
      </c>
      <c r="O18" s="347">
        <v>2.53E-2</v>
      </c>
      <c r="P18" s="348">
        <f t="shared" si="3"/>
        <v>5.0466079999999991</v>
      </c>
      <c r="Q18" s="347">
        <v>4.2999999999999997E-2</v>
      </c>
      <c r="R18" s="347">
        <v>0</v>
      </c>
      <c r="S18" s="348">
        <v>2.8</v>
      </c>
      <c r="T18" s="345">
        <v>4.0999999999999996</v>
      </c>
      <c r="U18" s="345">
        <v>0.8</v>
      </c>
      <c r="V18" s="265">
        <f t="shared" si="4"/>
        <v>4.9390320905607243</v>
      </c>
      <c r="W18" s="345">
        <v>8760</v>
      </c>
      <c r="X18" s="265">
        <v>0.03</v>
      </c>
      <c r="Y18" s="390">
        <f t="shared" si="5"/>
        <v>1.566156801928185E-4</v>
      </c>
      <c r="Z18" s="390">
        <f t="shared" si="6"/>
        <v>4.9390320905607242E-3</v>
      </c>
      <c r="AA18" s="390">
        <f t="shared" si="7"/>
        <v>4.6984704057845551E-6</v>
      </c>
      <c r="AB18" s="390">
        <f t="shared" si="8"/>
        <v>1.4817096271682172E-4</v>
      </c>
      <c r="AC18" s="391"/>
    </row>
    <row r="19" spans="1:29" ht="23.4">
      <c r="A19" s="387">
        <v>16</v>
      </c>
      <c r="B19" s="387"/>
      <c r="C19" s="388">
        <v>25</v>
      </c>
      <c r="D19" s="388" t="s">
        <v>456</v>
      </c>
      <c r="E19" s="387" t="s">
        <v>293</v>
      </c>
      <c r="F19" s="389">
        <f t="shared" si="0"/>
        <v>256.86338977478221</v>
      </c>
      <c r="G19" s="345">
        <v>1E-3</v>
      </c>
      <c r="H19" s="345">
        <f>Kogused!$C$18</f>
        <v>365</v>
      </c>
      <c r="I19" s="347">
        <v>254.49</v>
      </c>
      <c r="J19" s="347">
        <v>0.73</v>
      </c>
      <c r="K19" s="348">
        <f t="shared" si="1"/>
        <v>6.3300750091487043E-2</v>
      </c>
      <c r="L19" s="347">
        <v>8.3140000000000001</v>
      </c>
      <c r="M19" s="347">
        <v>353</v>
      </c>
      <c r="N19" s="348">
        <f t="shared" si="2"/>
        <v>0.98508135658863483</v>
      </c>
      <c r="O19" s="347">
        <v>2.53E-2</v>
      </c>
      <c r="P19" s="348">
        <f t="shared" si="3"/>
        <v>5.0466079999999991</v>
      </c>
      <c r="Q19" s="347">
        <v>4.2999999999999997E-2</v>
      </c>
      <c r="R19" s="347">
        <v>0</v>
      </c>
      <c r="S19" s="348">
        <v>2.8</v>
      </c>
      <c r="T19" s="345">
        <v>4.0999999999999996</v>
      </c>
      <c r="U19" s="345">
        <v>0.8</v>
      </c>
      <c r="V19" s="265">
        <f t="shared" si="4"/>
        <v>4.9390320905607243</v>
      </c>
      <c r="W19" s="345">
        <v>8760</v>
      </c>
      <c r="X19" s="265">
        <v>0.03</v>
      </c>
      <c r="Y19" s="390">
        <f t="shared" si="5"/>
        <v>1.566156801928185E-4</v>
      </c>
      <c r="Z19" s="390">
        <f t="shared" si="6"/>
        <v>4.9390320905607242E-3</v>
      </c>
      <c r="AA19" s="390">
        <f t="shared" si="7"/>
        <v>4.6984704057845551E-6</v>
      </c>
      <c r="AB19" s="390">
        <f t="shared" si="8"/>
        <v>1.4817096271682172E-4</v>
      </c>
      <c r="AC19" s="391"/>
    </row>
    <row r="20" spans="1:29" ht="23.4">
      <c r="A20" s="387">
        <v>17</v>
      </c>
      <c r="B20" s="387"/>
      <c r="C20" s="388">
        <v>25</v>
      </c>
      <c r="D20" s="388" t="s">
        <v>456</v>
      </c>
      <c r="E20" s="387" t="s">
        <v>293</v>
      </c>
      <c r="F20" s="389">
        <f t="shared" si="0"/>
        <v>256.86338977478221</v>
      </c>
      <c r="G20" s="345">
        <v>1E-3</v>
      </c>
      <c r="H20" s="345">
        <f>Kogused!$C$18</f>
        <v>365</v>
      </c>
      <c r="I20" s="347">
        <v>254.49</v>
      </c>
      <c r="J20" s="347">
        <v>0.73</v>
      </c>
      <c r="K20" s="348">
        <f t="shared" si="1"/>
        <v>6.3300750091487043E-2</v>
      </c>
      <c r="L20" s="347">
        <v>8.3140000000000001</v>
      </c>
      <c r="M20" s="347">
        <v>353</v>
      </c>
      <c r="N20" s="348">
        <f t="shared" si="2"/>
        <v>0.98508135658863483</v>
      </c>
      <c r="O20" s="347">
        <v>2.53E-2</v>
      </c>
      <c r="P20" s="348">
        <f t="shared" si="3"/>
        <v>5.0466079999999991</v>
      </c>
      <c r="Q20" s="347">
        <v>4.2999999999999997E-2</v>
      </c>
      <c r="R20" s="347">
        <v>0</v>
      </c>
      <c r="S20" s="348">
        <v>2.8</v>
      </c>
      <c r="T20" s="345">
        <v>4.0999999999999996</v>
      </c>
      <c r="U20" s="345">
        <v>0.8</v>
      </c>
      <c r="V20" s="265">
        <f t="shared" si="4"/>
        <v>4.9390320905607243</v>
      </c>
      <c r="W20" s="345">
        <v>8760</v>
      </c>
      <c r="X20" s="265">
        <v>0.03</v>
      </c>
      <c r="Y20" s="390">
        <f t="shared" si="5"/>
        <v>1.566156801928185E-4</v>
      </c>
      <c r="Z20" s="390">
        <f t="shared" si="6"/>
        <v>4.9390320905607242E-3</v>
      </c>
      <c r="AA20" s="390">
        <f t="shared" si="7"/>
        <v>4.6984704057845551E-6</v>
      </c>
      <c r="AB20" s="390">
        <f t="shared" si="8"/>
        <v>1.4817096271682172E-4</v>
      </c>
      <c r="AC20" s="391"/>
    </row>
    <row r="21" spans="1:29" ht="23.4">
      <c r="A21" s="387">
        <v>18</v>
      </c>
      <c r="B21" s="387"/>
      <c r="C21" s="388">
        <v>25</v>
      </c>
      <c r="D21" s="388" t="s">
        <v>456</v>
      </c>
      <c r="E21" s="387" t="s">
        <v>293</v>
      </c>
      <c r="F21" s="389">
        <f t="shared" si="0"/>
        <v>256.86338977478221</v>
      </c>
      <c r="G21" s="345">
        <v>1E-3</v>
      </c>
      <c r="H21" s="345">
        <f>Kogused!$C$18</f>
        <v>365</v>
      </c>
      <c r="I21" s="347">
        <v>254.49</v>
      </c>
      <c r="J21" s="347">
        <v>0.73</v>
      </c>
      <c r="K21" s="348">
        <f t="shared" si="1"/>
        <v>6.3300750091487043E-2</v>
      </c>
      <c r="L21" s="347">
        <v>8.3140000000000001</v>
      </c>
      <c r="M21" s="347">
        <v>353</v>
      </c>
      <c r="N21" s="348">
        <f t="shared" si="2"/>
        <v>0.98508135658863483</v>
      </c>
      <c r="O21" s="347">
        <v>2.53E-2</v>
      </c>
      <c r="P21" s="348">
        <f t="shared" si="3"/>
        <v>5.0466079999999991</v>
      </c>
      <c r="Q21" s="347">
        <v>4.2999999999999997E-2</v>
      </c>
      <c r="R21" s="347">
        <v>0</v>
      </c>
      <c r="S21" s="348">
        <v>2.8</v>
      </c>
      <c r="T21" s="345">
        <v>4.0999999999999996</v>
      </c>
      <c r="U21" s="345">
        <v>0.8</v>
      </c>
      <c r="V21" s="265">
        <f t="shared" si="4"/>
        <v>4.9390320905607243</v>
      </c>
      <c r="W21" s="345">
        <v>8760</v>
      </c>
      <c r="X21" s="265">
        <v>0.03</v>
      </c>
      <c r="Y21" s="390">
        <f t="shared" si="5"/>
        <v>1.566156801928185E-4</v>
      </c>
      <c r="Z21" s="390">
        <f t="shared" si="6"/>
        <v>4.9390320905607242E-3</v>
      </c>
      <c r="AA21" s="390">
        <f t="shared" si="7"/>
        <v>4.6984704057845551E-6</v>
      </c>
      <c r="AB21" s="390">
        <f t="shared" si="8"/>
        <v>1.4817096271682172E-4</v>
      </c>
      <c r="AC21" s="391"/>
    </row>
    <row r="22" spans="1:29" ht="23.4">
      <c r="A22" s="387">
        <v>19</v>
      </c>
      <c r="B22" s="387"/>
      <c r="C22" s="388">
        <v>25</v>
      </c>
      <c r="D22" s="388" t="s">
        <v>456</v>
      </c>
      <c r="E22" s="387" t="s">
        <v>293</v>
      </c>
      <c r="F22" s="389">
        <f t="shared" si="0"/>
        <v>256.86338977478221</v>
      </c>
      <c r="G22" s="345">
        <v>1E-3</v>
      </c>
      <c r="H22" s="345">
        <f>Kogused!$C$18</f>
        <v>365</v>
      </c>
      <c r="I22" s="347">
        <v>254.49</v>
      </c>
      <c r="J22" s="347">
        <v>0.73</v>
      </c>
      <c r="K22" s="348">
        <f t="shared" si="1"/>
        <v>6.3300750091487043E-2</v>
      </c>
      <c r="L22" s="347">
        <v>8.3140000000000001</v>
      </c>
      <c r="M22" s="347">
        <v>353</v>
      </c>
      <c r="N22" s="348">
        <f t="shared" si="2"/>
        <v>0.98508135658863483</v>
      </c>
      <c r="O22" s="347">
        <v>2.53E-2</v>
      </c>
      <c r="P22" s="348">
        <f t="shared" si="3"/>
        <v>5.0466079999999991</v>
      </c>
      <c r="Q22" s="347">
        <v>4.2999999999999997E-2</v>
      </c>
      <c r="R22" s="347">
        <v>0</v>
      </c>
      <c r="S22" s="348">
        <v>2.8</v>
      </c>
      <c r="T22" s="345">
        <v>4.0999999999999996</v>
      </c>
      <c r="U22" s="345">
        <v>0.8</v>
      </c>
      <c r="V22" s="265">
        <f t="shared" si="4"/>
        <v>4.9390320905607243</v>
      </c>
      <c r="W22" s="345">
        <v>8760</v>
      </c>
      <c r="X22" s="265">
        <v>0.03</v>
      </c>
      <c r="Y22" s="390">
        <f t="shared" si="5"/>
        <v>1.566156801928185E-4</v>
      </c>
      <c r="Z22" s="390">
        <f t="shared" si="6"/>
        <v>4.9390320905607242E-3</v>
      </c>
      <c r="AA22" s="390">
        <f t="shared" si="7"/>
        <v>4.6984704057845551E-6</v>
      </c>
      <c r="AB22" s="390">
        <f t="shared" si="8"/>
        <v>1.4817096271682172E-4</v>
      </c>
      <c r="AC22" s="391"/>
    </row>
    <row r="23" spans="1:29" ht="23.4">
      <c r="A23" s="387">
        <v>20</v>
      </c>
      <c r="B23" s="387"/>
      <c r="C23" s="388">
        <v>25</v>
      </c>
      <c r="D23" s="388" t="s">
        <v>456</v>
      </c>
      <c r="E23" s="387" t="s">
        <v>293</v>
      </c>
      <c r="F23" s="389">
        <f t="shared" si="0"/>
        <v>256.86338977478221</v>
      </c>
      <c r="G23" s="345">
        <v>1E-3</v>
      </c>
      <c r="H23" s="345">
        <f>Kogused!$C$18</f>
        <v>365</v>
      </c>
      <c r="I23" s="347">
        <v>254.49</v>
      </c>
      <c r="J23" s="347">
        <v>0.73</v>
      </c>
      <c r="K23" s="348">
        <f t="shared" si="1"/>
        <v>6.3300750091487043E-2</v>
      </c>
      <c r="L23" s="347">
        <v>8.3140000000000001</v>
      </c>
      <c r="M23" s="347">
        <v>353</v>
      </c>
      <c r="N23" s="348">
        <f t="shared" si="2"/>
        <v>0.98508135658863483</v>
      </c>
      <c r="O23" s="347">
        <v>2.53E-2</v>
      </c>
      <c r="P23" s="348">
        <f t="shared" si="3"/>
        <v>5.0466079999999991</v>
      </c>
      <c r="Q23" s="347">
        <v>4.2999999999999997E-2</v>
      </c>
      <c r="R23" s="347">
        <v>0</v>
      </c>
      <c r="S23" s="348">
        <v>2.8</v>
      </c>
      <c r="T23" s="345">
        <v>4.0999999999999996</v>
      </c>
      <c r="U23" s="345">
        <v>0.8</v>
      </c>
      <c r="V23" s="265">
        <f t="shared" si="4"/>
        <v>4.9390320905607243</v>
      </c>
      <c r="W23" s="345">
        <v>8760</v>
      </c>
      <c r="X23" s="265">
        <v>0.03</v>
      </c>
      <c r="Y23" s="390">
        <f t="shared" si="5"/>
        <v>1.566156801928185E-4</v>
      </c>
      <c r="Z23" s="390">
        <f t="shared" si="6"/>
        <v>4.9390320905607242E-3</v>
      </c>
      <c r="AA23" s="390">
        <f t="shared" si="7"/>
        <v>4.6984704057845551E-6</v>
      </c>
      <c r="AB23" s="390">
        <f t="shared" si="8"/>
        <v>1.4817096271682172E-4</v>
      </c>
      <c r="AC23" s="391"/>
    </row>
    <row r="24" spans="1:29" ht="23.4">
      <c r="A24" s="387">
        <v>21</v>
      </c>
      <c r="B24" s="387"/>
      <c r="C24" s="388">
        <v>25</v>
      </c>
      <c r="D24" s="388" t="s">
        <v>456</v>
      </c>
      <c r="E24" s="387" t="s">
        <v>293</v>
      </c>
      <c r="F24" s="389">
        <f t="shared" si="0"/>
        <v>256.86338977478221</v>
      </c>
      <c r="G24" s="345">
        <v>1E-3</v>
      </c>
      <c r="H24" s="345">
        <f>Kogused!$C$18</f>
        <v>365</v>
      </c>
      <c r="I24" s="347">
        <v>254.49</v>
      </c>
      <c r="J24" s="347">
        <v>0.73</v>
      </c>
      <c r="K24" s="348">
        <f t="shared" si="1"/>
        <v>6.3300750091487043E-2</v>
      </c>
      <c r="L24" s="347">
        <v>8.3140000000000001</v>
      </c>
      <c r="M24" s="347">
        <v>353</v>
      </c>
      <c r="N24" s="348">
        <f t="shared" si="2"/>
        <v>0.98508135658863483</v>
      </c>
      <c r="O24" s="347">
        <v>2.53E-2</v>
      </c>
      <c r="P24" s="348">
        <f t="shared" si="3"/>
        <v>5.0466079999999991</v>
      </c>
      <c r="Q24" s="347">
        <v>4.2999999999999997E-2</v>
      </c>
      <c r="R24" s="347">
        <v>0</v>
      </c>
      <c r="S24" s="348">
        <v>2.8</v>
      </c>
      <c r="T24" s="345">
        <v>4.0999999999999996</v>
      </c>
      <c r="U24" s="345">
        <v>0.8</v>
      </c>
      <c r="V24" s="265">
        <f t="shared" si="4"/>
        <v>4.9390320905607243</v>
      </c>
      <c r="W24" s="345">
        <v>8760</v>
      </c>
      <c r="X24" s="265">
        <v>0.03</v>
      </c>
      <c r="Y24" s="390">
        <f t="shared" si="5"/>
        <v>1.566156801928185E-4</v>
      </c>
      <c r="Z24" s="390">
        <f t="shared" si="6"/>
        <v>4.9390320905607242E-3</v>
      </c>
      <c r="AA24" s="390">
        <f t="shared" si="7"/>
        <v>4.6984704057845551E-6</v>
      </c>
      <c r="AB24" s="390">
        <f t="shared" si="8"/>
        <v>1.4817096271682172E-4</v>
      </c>
      <c r="AC24" s="391"/>
    </row>
    <row r="25" spans="1:29" ht="23.4">
      <c r="A25" s="387">
        <v>22</v>
      </c>
      <c r="B25" s="387"/>
      <c r="C25" s="388">
        <v>25</v>
      </c>
      <c r="D25" s="388" t="s">
        <v>456</v>
      </c>
      <c r="E25" s="387" t="s">
        <v>293</v>
      </c>
      <c r="F25" s="389">
        <f t="shared" si="0"/>
        <v>256.86338977478221</v>
      </c>
      <c r="G25" s="345">
        <v>1E-3</v>
      </c>
      <c r="H25" s="345">
        <f>Kogused!$C$18</f>
        <v>365</v>
      </c>
      <c r="I25" s="347">
        <v>254.49</v>
      </c>
      <c r="J25" s="347">
        <v>0.73</v>
      </c>
      <c r="K25" s="348">
        <f t="shared" si="1"/>
        <v>6.3300750091487043E-2</v>
      </c>
      <c r="L25" s="347">
        <v>8.3140000000000001</v>
      </c>
      <c r="M25" s="347">
        <v>353</v>
      </c>
      <c r="N25" s="348">
        <f t="shared" si="2"/>
        <v>0.98508135658863483</v>
      </c>
      <c r="O25" s="347">
        <v>2.53E-2</v>
      </c>
      <c r="P25" s="348">
        <f t="shared" si="3"/>
        <v>5.0466079999999991</v>
      </c>
      <c r="Q25" s="347">
        <v>4.2999999999999997E-2</v>
      </c>
      <c r="R25" s="347">
        <v>0</v>
      </c>
      <c r="S25" s="348">
        <v>2.8</v>
      </c>
      <c r="T25" s="345">
        <v>4.0999999999999996</v>
      </c>
      <c r="U25" s="345">
        <v>0.8</v>
      </c>
      <c r="V25" s="265">
        <f t="shared" si="4"/>
        <v>4.9390320905607243</v>
      </c>
      <c r="W25" s="345">
        <v>8760</v>
      </c>
      <c r="X25" s="265">
        <v>0.03</v>
      </c>
      <c r="Y25" s="390">
        <f t="shared" si="5"/>
        <v>1.566156801928185E-4</v>
      </c>
      <c r="Z25" s="390">
        <f t="shared" si="6"/>
        <v>4.9390320905607242E-3</v>
      </c>
      <c r="AA25" s="390">
        <f t="shared" si="7"/>
        <v>4.6984704057845551E-6</v>
      </c>
      <c r="AB25" s="390">
        <f t="shared" si="8"/>
        <v>1.4817096271682172E-4</v>
      </c>
      <c r="AC25" s="391"/>
    </row>
    <row r="26" spans="1:29" ht="23.4">
      <c r="A26" s="387">
        <v>23</v>
      </c>
      <c r="B26" s="387"/>
      <c r="C26" s="388">
        <v>25</v>
      </c>
      <c r="D26" s="388" t="s">
        <v>456</v>
      </c>
      <c r="E26" s="387" t="s">
        <v>293</v>
      </c>
      <c r="F26" s="389">
        <f t="shared" si="0"/>
        <v>256.86338977478221</v>
      </c>
      <c r="G26" s="345">
        <v>1E-3</v>
      </c>
      <c r="H26" s="345">
        <f>Kogused!$C$18</f>
        <v>365</v>
      </c>
      <c r="I26" s="347">
        <v>254.49</v>
      </c>
      <c r="J26" s="347">
        <v>0.73</v>
      </c>
      <c r="K26" s="348">
        <f t="shared" si="1"/>
        <v>6.3300750091487043E-2</v>
      </c>
      <c r="L26" s="347">
        <v>8.3140000000000001</v>
      </c>
      <c r="M26" s="347">
        <v>353</v>
      </c>
      <c r="N26" s="348">
        <f t="shared" si="2"/>
        <v>0.98508135658863483</v>
      </c>
      <c r="O26" s="347">
        <v>2.53E-2</v>
      </c>
      <c r="P26" s="348">
        <f t="shared" si="3"/>
        <v>5.0466079999999991</v>
      </c>
      <c r="Q26" s="347">
        <v>4.2999999999999997E-2</v>
      </c>
      <c r="R26" s="347">
        <v>0</v>
      </c>
      <c r="S26" s="348">
        <v>2.8</v>
      </c>
      <c r="T26" s="345">
        <v>4.0999999999999996</v>
      </c>
      <c r="U26" s="345">
        <v>0.8</v>
      </c>
      <c r="V26" s="265">
        <f t="shared" si="4"/>
        <v>4.9390320905607243</v>
      </c>
      <c r="W26" s="345">
        <v>8760</v>
      </c>
      <c r="X26" s="265">
        <v>0.03</v>
      </c>
      <c r="Y26" s="390">
        <f t="shared" si="5"/>
        <v>1.566156801928185E-4</v>
      </c>
      <c r="Z26" s="390">
        <f t="shared" si="6"/>
        <v>4.9390320905607242E-3</v>
      </c>
      <c r="AA26" s="390">
        <f t="shared" si="7"/>
        <v>4.6984704057845551E-6</v>
      </c>
      <c r="AB26" s="390">
        <f t="shared" si="8"/>
        <v>1.4817096271682172E-4</v>
      </c>
      <c r="AC26" s="391"/>
    </row>
    <row r="27" spans="1:29" ht="23.4">
      <c r="A27" s="425"/>
      <c r="B27" s="425"/>
      <c r="C27" s="426"/>
      <c r="D27" s="426"/>
      <c r="E27" s="425"/>
      <c r="F27" s="427">
        <f>SUM(F4:F26)</f>
        <v>6493.5064935064929</v>
      </c>
      <c r="G27" s="77"/>
      <c r="H27" s="77"/>
      <c r="I27" s="77"/>
      <c r="J27" s="77"/>
      <c r="K27" s="428"/>
      <c r="L27" s="77"/>
      <c r="M27" s="77"/>
      <c r="N27" s="428"/>
      <c r="O27" s="77"/>
      <c r="P27" s="428"/>
      <c r="Q27" s="77"/>
      <c r="R27" s="77"/>
      <c r="S27" s="429"/>
      <c r="T27" s="77"/>
      <c r="U27" s="77"/>
      <c r="V27" s="428"/>
      <c r="W27" s="77"/>
      <c r="X27" s="392" t="s">
        <v>345</v>
      </c>
      <c r="Y27" s="393">
        <f>SUM(Y4:Y26)</f>
        <v>3.9344352657836876E-3</v>
      </c>
      <c r="Z27" s="393">
        <f>SUM(Z4:Z26)</f>
        <v>0.12407635054175434</v>
      </c>
      <c r="AA27" s="393">
        <f>SUM(AA4:AA26)</f>
        <v>1.1803305797351066E-4</v>
      </c>
      <c r="AB27" s="393">
        <f>SUM(AB4:AB26)</f>
        <v>3.7222905162526305E-3</v>
      </c>
      <c r="AC27" s="391"/>
    </row>
    <row r="28" spans="1:29" ht="15" thickBot="1">
      <c r="A28" s="101"/>
      <c r="B28" s="101"/>
      <c r="C28" s="101"/>
      <c r="D28" s="101"/>
      <c r="E28" s="101"/>
      <c r="F28" s="101"/>
    </row>
    <row r="29" spans="1:29" s="209" customFormat="1">
      <c r="A29" s="394" t="s">
        <v>439</v>
      </c>
      <c r="B29" s="395"/>
      <c r="C29" s="396"/>
      <c r="D29" s="396"/>
      <c r="E29" s="396"/>
      <c r="F29" s="396"/>
      <c r="G29" s="396"/>
      <c r="H29" s="396"/>
      <c r="I29" s="396"/>
      <c r="J29" s="396"/>
      <c r="K29" s="396"/>
      <c r="L29" s="397"/>
      <c r="N29" s="398"/>
      <c r="O29" s="261"/>
      <c r="P29" s="261"/>
      <c r="Q29" s="261"/>
      <c r="R29" s="261"/>
      <c r="S29" s="261"/>
      <c r="T29" s="261"/>
      <c r="U29" s="261"/>
      <c r="V29" s="261"/>
      <c r="W29" s="261"/>
      <c r="X29" s="399"/>
      <c r="Y29" s="399"/>
      <c r="Z29" s="399"/>
      <c r="AA29" s="399"/>
    </row>
    <row r="30" spans="1:29" s="209" customFormat="1" ht="21">
      <c r="A30" s="400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401"/>
      <c r="N30" s="374"/>
      <c r="O30" s="106" t="s">
        <v>293</v>
      </c>
      <c r="P30" s="402"/>
      <c r="Q30" s="261"/>
      <c r="R30" s="261"/>
      <c r="S30" s="261"/>
      <c r="T30" s="261"/>
      <c r="U30" s="261"/>
      <c r="V30" s="261"/>
      <c r="W30" s="261"/>
      <c r="X30" s="399"/>
      <c r="Y30" s="399"/>
      <c r="Z30" s="399"/>
      <c r="AA30" s="399"/>
    </row>
    <row r="31" spans="1:29" s="209" customFormat="1" ht="16.2">
      <c r="A31" s="400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401"/>
      <c r="O31" s="439" t="s">
        <v>459</v>
      </c>
      <c r="P31" s="261"/>
      <c r="Q31" s="261"/>
      <c r="R31" s="261"/>
      <c r="S31" s="261"/>
      <c r="T31" s="261"/>
      <c r="U31" s="261"/>
      <c r="V31" s="261"/>
      <c r="W31" s="261"/>
      <c r="X31" s="399"/>
      <c r="Y31" s="399"/>
      <c r="Z31" s="399"/>
      <c r="AA31" s="399"/>
    </row>
    <row r="32" spans="1:29" s="209" customFormat="1">
      <c r="A32" s="400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401"/>
      <c r="N32" s="261"/>
      <c r="O32" s="261" t="s">
        <v>460</v>
      </c>
      <c r="P32" s="261"/>
      <c r="Q32" s="261"/>
      <c r="R32" s="261"/>
      <c r="S32" s="261"/>
      <c r="T32" s="261"/>
      <c r="U32" s="261"/>
      <c r="V32" s="261"/>
      <c r="W32" s="261"/>
      <c r="X32" s="399"/>
      <c r="Y32" s="399"/>
      <c r="Z32" s="399"/>
      <c r="AA32" s="399"/>
    </row>
    <row r="33" spans="1:27" s="209" customFormat="1">
      <c r="A33" s="400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401"/>
      <c r="N33" s="261"/>
      <c r="O33" s="261"/>
      <c r="P33" s="261"/>
      <c r="Q33" s="261"/>
      <c r="R33" s="261"/>
      <c r="S33" s="261"/>
      <c r="T33" s="261"/>
      <c r="U33" s="261"/>
      <c r="V33" s="261"/>
      <c r="W33" s="114"/>
      <c r="X33" s="403"/>
      <c r="Y33" s="399"/>
      <c r="Z33" s="399"/>
      <c r="AA33" s="399"/>
    </row>
    <row r="34" spans="1:27" s="209" customFormat="1">
      <c r="A34" s="496" t="s">
        <v>284</v>
      </c>
      <c r="B34" s="497"/>
      <c r="C34" s="497"/>
      <c r="D34" s="497"/>
      <c r="E34" s="497"/>
      <c r="F34" s="497"/>
      <c r="G34" s="497"/>
      <c r="H34" s="497"/>
      <c r="I34" s="404"/>
      <c r="J34" s="404"/>
      <c r="K34" s="404"/>
      <c r="L34" s="405"/>
      <c r="M34" s="404"/>
      <c r="N34" s="406"/>
      <c r="O34" s="406"/>
      <c r="P34" s="406"/>
      <c r="Q34" s="406"/>
      <c r="R34" s="406"/>
      <c r="S34" s="406"/>
      <c r="T34" s="406"/>
      <c r="U34" s="406"/>
      <c r="V34" s="406"/>
      <c r="W34" s="114"/>
      <c r="X34" s="403"/>
      <c r="Y34" s="399"/>
      <c r="Z34" s="399"/>
      <c r="AA34" s="399"/>
    </row>
    <row r="35" spans="1:27" s="209" customFormat="1" ht="15">
      <c r="A35" s="496" t="s">
        <v>440</v>
      </c>
      <c r="B35" s="497"/>
      <c r="C35" s="497"/>
      <c r="D35" s="497"/>
      <c r="E35" s="497"/>
      <c r="F35" s="497"/>
      <c r="G35" s="497"/>
      <c r="H35" s="497"/>
      <c r="I35" s="404"/>
      <c r="J35" s="404"/>
      <c r="K35" s="404"/>
      <c r="L35" s="405"/>
      <c r="M35" s="404"/>
      <c r="N35" s="406"/>
      <c r="O35" s="406"/>
      <c r="P35" s="406"/>
      <c r="Q35" s="406"/>
      <c r="R35" s="406"/>
      <c r="S35" s="406"/>
      <c r="T35" s="406"/>
      <c r="U35" s="406"/>
      <c r="V35" s="406"/>
      <c r="W35" s="114"/>
      <c r="X35" s="403"/>
      <c r="Y35" s="399"/>
      <c r="Z35" s="399"/>
      <c r="AA35" s="399"/>
    </row>
    <row r="36" spans="1:27" s="209" customFormat="1" ht="15">
      <c r="A36" s="496" t="s">
        <v>441</v>
      </c>
      <c r="B36" s="497"/>
      <c r="C36" s="497"/>
      <c r="D36" s="497"/>
      <c r="E36" s="497"/>
      <c r="F36" s="497"/>
      <c r="G36" s="497"/>
      <c r="H36" s="497"/>
      <c r="I36" s="404"/>
      <c r="J36" s="404"/>
      <c r="K36" s="404"/>
      <c r="L36" s="405"/>
      <c r="M36" s="404"/>
      <c r="N36" s="406"/>
      <c r="O36" s="406"/>
      <c r="P36" s="406"/>
      <c r="Q36" s="406"/>
      <c r="R36" s="406"/>
      <c r="S36" s="406"/>
      <c r="T36" s="406"/>
      <c r="U36" s="406"/>
      <c r="V36" s="406"/>
      <c r="W36" s="131"/>
      <c r="X36" s="403"/>
      <c r="Y36" s="399"/>
      <c r="Z36" s="399"/>
      <c r="AA36" s="399"/>
    </row>
    <row r="37" spans="1:27" s="209" customFormat="1" ht="15">
      <c r="A37" s="496" t="s">
        <v>442</v>
      </c>
      <c r="B37" s="497"/>
      <c r="C37" s="497"/>
      <c r="D37" s="497"/>
      <c r="E37" s="497"/>
      <c r="F37" s="497"/>
      <c r="G37" s="497"/>
      <c r="H37" s="497"/>
      <c r="I37" s="404"/>
      <c r="J37" s="404"/>
      <c r="K37" s="404"/>
      <c r="L37" s="405"/>
      <c r="M37" s="404"/>
      <c r="N37" s="406"/>
      <c r="O37" s="406"/>
      <c r="P37" s="406"/>
      <c r="Q37" s="406"/>
      <c r="R37" s="406"/>
      <c r="S37" s="406"/>
      <c r="T37" s="406"/>
      <c r="U37" s="407"/>
      <c r="V37" s="407"/>
      <c r="W37" s="399"/>
      <c r="X37" s="399"/>
      <c r="Y37" s="399"/>
      <c r="Z37" s="399"/>
      <c r="AA37" s="399"/>
    </row>
    <row r="38" spans="1:27" s="209" customFormat="1" ht="15">
      <c r="A38" s="496" t="s">
        <v>443</v>
      </c>
      <c r="B38" s="497"/>
      <c r="C38" s="497"/>
      <c r="D38" s="497"/>
      <c r="E38" s="497"/>
      <c r="F38" s="497"/>
      <c r="G38" s="497"/>
      <c r="H38" s="497"/>
      <c r="I38" s="404"/>
      <c r="J38" s="404"/>
      <c r="K38" s="404"/>
      <c r="L38" s="405"/>
      <c r="M38" s="404"/>
      <c r="N38" s="406"/>
      <c r="O38" s="406"/>
      <c r="P38" s="406"/>
      <c r="Q38" s="406"/>
      <c r="R38" s="406"/>
      <c r="S38" s="406"/>
      <c r="T38" s="406"/>
      <c r="U38" s="407"/>
      <c r="V38" s="407"/>
      <c r="W38" s="399"/>
      <c r="X38" s="399"/>
      <c r="Y38" s="399"/>
      <c r="Z38" s="399"/>
      <c r="AA38" s="399"/>
    </row>
    <row r="39" spans="1:27" s="209" customFormat="1">
      <c r="A39" s="496" t="s">
        <v>287</v>
      </c>
      <c r="B39" s="497"/>
      <c r="C39" s="497"/>
      <c r="D39" s="497"/>
      <c r="E39" s="497"/>
      <c r="F39" s="497"/>
      <c r="G39" s="497"/>
      <c r="H39" s="497"/>
      <c r="I39" s="404"/>
      <c r="J39"/>
      <c r="K39" s="404"/>
      <c r="L39" s="405"/>
      <c r="M39" s="404"/>
      <c r="N39" s="406"/>
      <c r="O39" s="406"/>
      <c r="P39" s="406"/>
      <c r="Q39" s="406"/>
      <c r="R39" s="406"/>
      <c r="S39" s="406"/>
      <c r="T39" s="406"/>
      <c r="U39" s="408"/>
      <c r="V39" s="408"/>
      <c r="W39" s="399"/>
      <c r="X39" s="399"/>
      <c r="Y39" s="399"/>
      <c r="Z39" s="399"/>
      <c r="AA39" s="399"/>
    </row>
    <row r="40" spans="1:27" s="209" customFormat="1">
      <c r="A40" s="400"/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401"/>
      <c r="N40" s="261"/>
      <c r="O40" s="261"/>
      <c r="P40" s="261"/>
      <c r="Q40" s="261"/>
      <c r="R40" s="261"/>
      <c r="S40" s="261"/>
      <c r="T40" s="261"/>
      <c r="U40" s="261"/>
      <c r="V40" s="261"/>
      <c r="W40" s="114"/>
      <c r="X40" s="403"/>
      <c r="Y40" s="399"/>
      <c r="Z40" s="399"/>
      <c r="AA40" s="399"/>
    </row>
    <row r="41" spans="1:27" s="209" customFormat="1" ht="15">
      <c r="A41" s="409" t="s">
        <v>296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1"/>
      <c r="M41" s="410"/>
      <c r="N41" s="412"/>
      <c r="O41" s="412"/>
      <c r="P41" s="412"/>
      <c r="Q41" s="412"/>
      <c r="R41" s="412"/>
      <c r="S41" s="412"/>
      <c r="T41" s="412"/>
      <c r="U41" s="412"/>
      <c r="V41" s="412"/>
      <c r="W41" s="413"/>
      <c r="X41" s="403"/>
      <c r="Y41" s="399"/>
      <c r="Z41" s="399"/>
      <c r="AA41" s="399"/>
    </row>
    <row r="42" spans="1:27" s="209" customFormat="1">
      <c r="A42" s="400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401"/>
      <c r="N42" s="412"/>
      <c r="O42" s="412"/>
      <c r="P42" s="412"/>
      <c r="Q42" s="412"/>
      <c r="R42" s="412"/>
      <c r="S42" s="412"/>
      <c r="T42" s="412"/>
      <c r="U42" s="412"/>
      <c r="V42" s="412"/>
      <c r="W42" s="131"/>
      <c r="X42" s="403"/>
      <c r="Y42" s="399"/>
      <c r="Z42" s="399"/>
      <c r="AA42" s="399"/>
    </row>
    <row r="43" spans="1:27" s="209" customFormat="1">
      <c r="A43" s="400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401"/>
      <c r="N43" s="406"/>
      <c r="O43" s="406"/>
      <c r="P43" s="406"/>
      <c r="Q43" s="406"/>
      <c r="R43" s="406"/>
      <c r="S43" s="406"/>
      <c r="T43" s="406"/>
      <c r="U43" s="406"/>
      <c r="V43" s="406"/>
      <c r="W43" s="222"/>
      <c r="X43" s="403"/>
      <c r="Y43" s="399"/>
      <c r="Z43" s="399"/>
      <c r="AA43" s="399"/>
    </row>
    <row r="44" spans="1:27" s="209" customFormat="1">
      <c r="A44" s="400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401"/>
      <c r="N44" s="406"/>
      <c r="O44" s="406"/>
      <c r="P44" s="406"/>
      <c r="Q44" s="406"/>
      <c r="R44" s="406"/>
      <c r="S44" s="406"/>
      <c r="T44" s="406"/>
      <c r="U44" s="406"/>
      <c r="V44" s="406"/>
      <c r="W44" s="222"/>
      <c r="X44" s="403"/>
      <c r="Y44" s="399"/>
      <c r="Z44" s="399"/>
      <c r="AA44" s="399"/>
    </row>
    <row r="45" spans="1:27" s="209" customFormat="1">
      <c r="A45" s="400"/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401"/>
      <c r="N45" s="414"/>
      <c r="O45" s="414"/>
      <c r="P45" s="414"/>
      <c r="Q45" s="414"/>
      <c r="R45" s="414"/>
      <c r="S45" s="414"/>
      <c r="T45" s="414"/>
      <c r="U45" s="414"/>
      <c r="V45" s="414"/>
      <c r="W45" s="114"/>
      <c r="X45" s="403"/>
      <c r="Y45" s="399"/>
      <c r="Z45" s="399"/>
      <c r="AA45" s="399"/>
    </row>
    <row r="46" spans="1:27" s="209" customFormat="1" ht="13.8">
      <c r="A46" s="494" t="s">
        <v>288</v>
      </c>
      <c r="B46" s="495"/>
      <c r="C46" s="495"/>
      <c r="D46" s="495"/>
      <c r="E46" s="495"/>
      <c r="F46" s="495"/>
      <c r="G46" s="495"/>
      <c r="H46" s="495"/>
      <c r="I46" s="407"/>
      <c r="J46" s="407"/>
      <c r="K46" s="407"/>
      <c r="L46" s="415"/>
      <c r="M46" s="407"/>
      <c r="N46" s="407"/>
      <c r="O46" s="407"/>
      <c r="P46" s="399"/>
      <c r="Q46" s="399"/>
      <c r="R46" s="399"/>
      <c r="S46" s="399"/>
      <c r="T46" s="399"/>
      <c r="U46" s="399"/>
      <c r="V46" s="399"/>
      <c r="W46" s="403"/>
      <c r="X46" s="403"/>
      <c r="Y46" s="399"/>
      <c r="Z46" s="399"/>
      <c r="AA46" s="399"/>
    </row>
    <row r="47" spans="1:27" s="209" customFormat="1" ht="13.8">
      <c r="A47" s="416" t="s">
        <v>289</v>
      </c>
      <c r="B47" s="417"/>
      <c r="C47" s="399"/>
      <c r="D47" s="399"/>
      <c r="E47" s="399"/>
      <c r="F47" s="399"/>
      <c r="G47" s="399"/>
      <c r="H47" s="399"/>
      <c r="I47" s="399"/>
      <c r="J47" s="399"/>
      <c r="K47" s="399"/>
      <c r="L47" s="401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</row>
    <row r="48" spans="1:27" s="209" customFormat="1" ht="15">
      <c r="A48" s="494" t="s">
        <v>444</v>
      </c>
      <c r="B48" s="495"/>
      <c r="C48" s="495"/>
      <c r="D48" s="495"/>
      <c r="E48" s="495"/>
      <c r="F48" s="495"/>
      <c r="G48" s="495"/>
      <c r="H48" s="495"/>
      <c r="I48" s="407"/>
      <c r="J48" s="407"/>
      <c r="K48" s="407"/>
      <c r="L48" s="415"/>
      <c r="M48" s="407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</row>
    <row r="49" spans="1:27" s="209" customFormat="1" ht="15">
      <c r="A49" s="416" t="s">
        <v>445</v>
      </c>
      <c r="B49" s="417"/>
      <c r="C49" s="417"/>
      <c r="D49" s="417"/>
      <c r="E49" s="417"/>
      <c r="F49" s="417"/>
      <c r="G49" s="417"/>
      <c r="H49" s="417"/>
      <c r="I49" s="407"/>
      <c r="J49" s="407"/>
      <c r="K49" s="407"/>
      <c r="L49" s="415"/>
      <c r="M49" s="407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</row>
    <row r="50" spans="1:27" s="209" customFormat="1" ht="15">
      <c r="A50" s="498" t="s">
        <v>446</v>
      </c>
      <c r="B50" s="499"/>
      <c r="C50" s="500"/>
      <c r="D50" s="500"/>
      <c r="E50" s="500"/>
      <c r="F50" s="500"/>
      <c r="G50" s="500"/>
      <c r="H50" s="500"/>
      <c r="I50" s="408"/>
      <c r="J50" s="408"/>
      <c r="K50" s="408"/>
      <c r="L50" s="418"/>
      <c r="M50" s="408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</row>
    <row r="51" spans="1:27" s="209" customFormat="1" ht="15">
      <c r="A51" s="498" t="s">
        <v>447</v>
      </c>
      <c r="B51" s="499"/>
      <c r="C51" s="499"/>
      <c r="D51" s="499"/>
      <c r="E51" s="499"/>
      <c r="F51" s="499"/>
      <c r="G51" s="499"/>
      <c r="H51" s="499"/>
      <c r="I51" s="419"/>
      <c r="J51" s="419"/>
      <c r="K51" s="419"/>
      <c r="L51" s="420"/>
      <c r="M51" s="419"/>
      <c r="N51" s="419"/>
      <c r="O51" s="41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</row>
    <row r="52" spans="1:27" s="209" customFormat="1" ht="13.8">
      <c r="A52" s="494" t="s">
        <v>290</v>
      </c>
      <c r="B52" s="495"/>
      <c r="C52" s="495"/>
      <c r="D52" s="495"/>
      <c r="E52" s="495"/>
      <c r="F52" s="495"/>
      <c r="G52" s="495"/>
      <c r="H52" s="495"/>
      <c r="I52" s="407"/>
      <c r="J52" s="407"/>
      <c r="K52" s="407"/>
      <c r="L52" s="415"/>
      <c r="M52" s="407"/>
      <c r="N52" s="407"/>
      <c r="O52" s="407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</row>
    <row r="53" spans="1:27" s="209" customFormat="1" ht="13.8">
      <c r="A53" s="416" t="s">
        <v>289</v>
      </c>
      <c r="B53" s="417"/>
      <c r="C53" s="399"/>
      <c r="D53" s="399"/>
      <c r="E53" s="399"/>
      <c r="F53" s="399"/>
      <c r="G53" s="399"/>
      <c r="H53" s="399"/>
      <c r="I53" s="399"/>
      <c r="J53" s="399"/>
      <c r="K53" s="399"/>
      <c r="L53" s="401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</row>
    <row r="54" spans="1:27" s="209" customFormat="1" ht="15">
      <c r="A54" s="494" t="s">
        <v>448</v>
      </c>
      <c r="B54" s="495"/>
      <c r="C54" s="495"/>
      <c r="D54" s="495"/>
      <c r="E54" s="495"/>
      <c r="F54" s="495"/>
      <c r="G54" s="495"/>
      <c r="H54" s="495"/>
      <c r="I54" s="407"/>
      <c r="J54" s="407"/>
      <c r="K54" s="407"/>
      <c r="L54" s="415"/>
      <c r="M54" s="407"/>
      <c r="N54" s="407"/>
      <c r="O54" s="407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</row>
    <row r="55" spans="1:27" s="209" customFormat="1" thickBot="1">
      <c r="A55" s="421" t="s">
        <v>291</v>
      </c>
      <c r="B55" s="422"/>
      <c r="C55" s="422"/>
      <c r="D55" s="422"/>
      <c r="E55" s="422"/>
      <c r="F55" s="422"/>
      <c r="G55" s="422"/>
      <c r="H55" s="422"/>
      <c r="I55" s="423"/>
      <c r="J55" s="423"/>
      <c r="K55" s="423"/>
      <c r="L55" s="424"/>
      <c r="M55" s="407"/>
      <c r="N55" s="407"/>
      <c r="O55" s="407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</row>
    <row r="56" spans="1:27"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</row>
    <row r="58" spans="1:27">
      <c r="B58" s="227" t="s">
        <v>455</v>
      </c>
    </row>
    <row r="60" spans="1:27">
      <c r="B60" s="1" t="s">
        <v>294</v>
      </c>
      <c r="C60" s="1">
        <f>G1/1000</f>
        <v>0.77</v>
      </c>
      <c r="D60" s="1" t="s">
        <v>458</v>
      </c>
    </row>
    <row r="61" spans="1:27">
      <c r="B61" s="1" t="s">
        <v>404</v>
      </c>
      <c r="C61" s="109">
        <f>Kogused!C17</f>
        <v>5000</v>
      </c>
      <c r="D61" s="1" t="s">
        <v>12</v>
      </c>
    </row>
    <row r="62" spans="1:27">
      <c r="B62" s="211" t="s">
        <v>454</v>
      </c>
      <c r="C62" s="211" t="s">
        <v>53</v>
      </c>
      <c r="D62" s="211" t="s">
        <v>172</v>
      </c>
      <c r="E62" s="211" t="s">
        <v>12</v>
      </c>
      <c r="F62" s="211" t="s">
        <v>84</v>
      </c>
    </row>
    <row r="63" spans="1:27">
      <c r="B63" s="1">
        <v>1</v>
      </c>
      <c r="C63" s="1">
        <v>23</v>
      </c>
      <c r="D63" s="210">
        <f>C63*100/$C$87</f>
        <v>3.6392405063291138</v>
      </c>
      <c r="E63" s="210">
        <f t="shared" ref="E63:E85" si="9">$C$61*D63/100</f>
        <v>181.96202531645568</v>
      </c>
      <c r="F63" s="210">
        <f>E63/$C$60</f>
        <v>236.31431859279957</v>
      </c>
    </row>
    <row r="64" spans="1:27">
      <c r="B64" s="1">
        <v>2</v>
      </c>
      <c r="C64" s="1">
        <v>26</v>
      </c>
      <c r="D64" s="210">
        <f t="shared" ref="D64:D85" si="10">C64*100/$C$87</f>
        <v>4.1139240506329111</v>
      </c>
      <c r="E64" s="210">
        <f t="shared" si="9"/>
        <v>205.69620253164555</v>
      </c>
      <c r="F64" s="210">
        <f t="shared" ref="F64:F85" si="11">E64/$C$60</f>
        <v>267.13792536577341</v>
      </c>
    </row>
    <row r="65" spans="2:11">
      <c r="B65" s="1">
        <v>3</v>
      </c>
      <c r="C65" s="1">
        <v>26</v>
      </c>
      <c r="D65" s="210">
        <f t="shared" si="10"/>
        <v>4.1139240506329111</v>
      </c>
      <c r="E65" s="210">
        <f t="shared" si="9"/>
        <v>205.69620253164555</v>
      </c>
      <c r="F65" s="210">
        <f t="shared" si="11"/>
        <v>267.13792536577341</v>
      </c>
    </row>
    <row r="66" spans="2:11">
      <c r="B66" s="1">
        <v>4</v>
      </c>
      <c r="C66" s="1">
        <v>26</v>
      </c>
      <c r="D66" s="210">
        <f t="shared" si="10"/>
        <v>4.1139240506329111</v>
      </c>
      <c r="E66" s="210">
        <f t="shared" si="9"/>
        <v>205.69620253164555</v>
      </c>
      <c r="F66" s="210">
        <f t="shared" si="11"/>
        <v>267.13792536577341</v>
      </c>
    </row>
    <row r="67" spans="2:11">
      <c r="B67" s="1">
        <v>5</v>
      </c>
      <c r="C67" s="1">
        <v>26</v>
      </c>
      <c r="D67" s="210">
        <f t="shared" si="10"/>
        <v>4.1139240506329111</v>
      </c>
      <c r="E67" s="210">
        <f t="shared" si="9"/>
        <v>205.69620253164555</v>
      </c>
      <c r="F67" s="210">
        <f t="shared" si="11"/>
        <v>267.13792536577341</v>
      </c>
    </row>
    <row r="68" spans="2:11">
      <c r="B68" s="1">
        <v>6</v>
      </c>
      <c r="C68" s="1">
        <v>26</v>
      </c>
      <c r="D68" s="210">
        <f t="shared" si="10"/>
        <v>4.1139240506329111</v>
      </c>
      <c r="E68" s="210">
        <f t="shared" si="9"/>
        <v>205.69620253164555</v>
      </c>
      <c r="F68" s="210">
        <f t="shared" si="11"/>
        <v>267.13792536577341</v>
      </c>
    </row>
    <row r="69" spans="2:11">
      <c r="B69" s="1">
        <v>7</v>
      </c>
      <c r="C69" s="1">
        <v>26</v>
      </c>
      <c r="D69" s="210">
        <f t="shared" si="10"/>
        <v>4.1139240506329111</v>
      </c>
      <c r="E69" s="210">
        <f t="shared" si="9"/>
        <v>205.69620253164555</v>
      </c>
      <c r="F69" s="210">
        <f t="shared" si="11"/>
        <v>267.13792536577341</v>
      </c>
    </row>
    <row r="70" spans="2:11">
      <c r="B70" s="1">
        <v>8</v>
      </c>
      <c r="C70" s="1">
        <v>26</v>
      </c>
      <c r="D70" s="210">
        <f t="shared" si="10"/>
        <v>4.1139240506329111</v>
      </c>
      <c r="E70" s="210">
        <f t="shared" si="9"/>
        <v>205.69620253164555</v>
      </c>
      <c r="F70" s="210">
        <f t="shared" si="11"/>
        <v>267.13792536577341</v>
      </c>
    </row>
    <row r="71" spans="2:11">
      <c r="B71" s="1">
        <v>9</v>
      </c>
      <c r="C71" s="1">
        <v>26</v>
      </c>
      <c r="D71" s="210">
        <f t="shared" si="10"/>
        <v>4.1139240506329111</v>
      </c>
      <c r="E71" s="210">
        <f t="shared" si="9"/>
        <v>205.69620253164555</v>
      </c>
      <c r="F71" s="210">
        <f t="shared" si="11"/>
        <v>267.13792536577341</v>
      </c>
    </row>
    <row r="72" spans="2:11">
      <c r="B72" s="1">
        <v>10</v>
      </c>
      <c r="C72" s="1">
        <v>26</v>
      </c>
      <c r="D72" s="210">
        <f t="shared" si="10"/>
        <v>4.1139240506329111</v>
      </c>
      <c r="E72" s="210">
        <f t="shared" si="9"/>
        <v>205.69620253164555</v>
      </c>
      <c r="F72" s="210">
        <f t="shared" si="11"/>
        <v>267.13792536577341</v>
      </c>
    </row>
    <row r="73" spans="2:11">
      <c r="B73" s="1">
        <v>11</v>
      </c>
      <c r="C73" s="1">
        <v>50</v>
      </c>
      <c r="D73" s="210">
        <f>C73*100/$C$87</f>
        <v>7.9113924050632916</v>
      </c>
      <c r="E73" s="210">
        <f t="shared" si="9"/>
        <v>395.5696202531646</v>
      </c>
      <c r="F73" s="210">
        <f t="shared" si="11"/>
        <v>513.72677954956441</v>
      </c>
    </row>
    <row r="74" spans="2:11">
      <c r="B74" s="1">
        <v>12</v>
      </c>
      <c r="C74" s="1">
        <v>50</v>
      </c>
      <c r="D74" s="210">
        <f t="shared" si="10"/>
        <v>7.9113924050632916</v>
      </c>
      <c r="E74" s="210">
        <f t="shared" si="9"/>
        <v>395.5696202531646</v>
      </c>
      <c r="F74" s="210">
        <f t="shared" si="11"/>
        <v>513.72677954956441</v>
      </c>
      <c r="K74">
        <v>5000</v>
      </c>
    </row>
    <row r="75" spans="2:11">
      <c r="B75" s="1">
        <v>13</v>
      </c>
      <c r="C75" s="1">
        <v>25</v>
      </c>
      <c r="D75" s="210">
        <f t="shared" si="10"/>
        <v>3.9556962025316458</v>
      </c>
      <c r="E75" s="210">
        <f t="shared" si="9"/>
        <v>197.7848101265823</v>
      </c>
      <c r="F75" s="210">
        <f t="shared" si="11"/>
        <v>256.86338977478221</v>
      </c>
      <c r="K75">
        <f>K74/C60</f>
        <v>6493.5064935064929</v>
      </c>
    </row>
    <row r="76" spans="2:11">
      <c r="B76" s="1">
        <v>14</v>
      </c>
      <c r="C76" s="1">
        <v>25</v>
      </c>
      <c r="D76" s="210">
        <f t="shared" si="10"/>
        <v>3.9556962025316458</v>
      </c>
      <c r="E76" s="210">
        <f t="shared" si="9"/>
        <v>197.7848101265823</v>
      </c>
      <c r="F76" s="210">
        <f t="shared" si="11"/>
        <v>256.86338977478221</v>
      </c>
    </row>
    <row r="77" spans="2:11">
      <c r="B77" s="1">
        <v>15</v>
      </c>
      <c r="C77" s="1">
        <v>25</v>
      </c>
      <c r="D77" s="210">
        <f t="shared" si="10"/>
        <v>3.9556962025316458</v>
      </c>
      <c r="E77" s="210">
        <f t="shared" si="9"/>
        <v>197.7848101265823</v>
      </c>
      <c r="F77" s="210">
        <f t="shared" si="11"/>
        <v>256.86338977478221</v>
      </c>
    </row>
    <row r="78" spans="2:11">
      <c r="B78" s="1">
        <v>16</v>
      </c>
      <c r="C78" s="1">
        <v>25</v>
      </c>
      <c r="D78" s="210">
        <f t="shared" si="10"/>
        <v>3.9556962025316458</v>
      </c>
      <c r="E78" s="210">
        <f t="shared" si="9"/>
        <v>197.7848101265823</v>
      </c>
      <c r="F78" s="210">
        <f t="shared" si="11"/>
        <v>256.86338977478221</v>
      </c>
    </row>
    <row r="79" spans="2:11">
      <c r="B79" s="1">
        <v>17</v>
      </c>
      <c r="C79" s="1">
        <v>25</v>
      </c>
      <c r="D79" s="210">
        <f t="shared" si="10"/>
        <v>3.9556962025316458</v>
      </c>
      <c r="E79" s="210">
        <f t="shared" si="9"/>
        <v>197.7848101265823</v>
      </c>
      <c r="F79" s="210">
        <f t="shared" si="11"/>
        <v>256.86338977478221</v>
      </c>
    </row>
    <row r="80" spans="2:11">
      <c r="B80" s="1">
        <v>18</v>
      </c>
      <c r="C80" s="1">
        <v>25</v>
      </c>
      <c r="D80" s="210">
        <f t="shared" si="10"/>
        <v>3.9556962025316458</v>
      </c>
      <c r="E80" s="210">
        <f t="shared" si="9"/>
        <v>197.7848101265823</v>
      </c>
      <c r="F80" s="210">
        <f t="shared" si="11"/>
        <v>256.86338977478221</v>
      </c>
    </row>
    <row r="81" spans="2:6">
      <c r="B81" s="1">
        <v>19</v>
      </c>
      <c r="C81" s="1">
        <v>25</v>
      </c>
      <c r="D81" s="210">
        <f t="shared" si="10"/>
        <v>3.9556962025316458</v>
      </c>
      <c r="E81" s="210">
        <f t="shared" si="9"/>
        <v>197.7848101265823</v>
      </c>
      <c r="F81" s="210">
        <f t="shared" si="11"/>
        <v>256.86338977478221</v>
      </c>
    </row>
    <row r="82" spans="2:6">
      <c r="B82" s="1">
        <v>20</v>
      </c>
      <c r="C82" s="1">
        <v>25</v>
      </c>
      <c r="D82" s="210">
        <f t="shared" si="10"/>
        <v>3.9556962025316458</v>
      </c>
      <c r="E82" s="210">
        <f t="shared" si="9"/>
        <v>197.7848101265823</v>
      </c>
      <c r="F82" s="210">
        <f t="shared" si="11"/>
        <v>256.86338977478221</v>
      </c>
    </row>
    <row r="83" spans="2:6">
      <c r="B83" s="1">
        <v>21</v>
      </c>
      <c r="C83" s="1">
        <v>25</v>
      </c>
      <c r="D83" s="210">
        <f t="shared" si="10"/>
        <v>3.9556962025316458</v>
      </c>
      <c r="E83" s="210">
        <f t="shared" si="9"/>
        <v>197.7848101265823</v>
      </c>
      <c r="F83" s="210">
        <f t="shared" si="11"/>
        <v>256.86338977478221</v>
      </c>
    </row>
    <row r="84" spans="2:6">
      <c r="B84" s="1">
        <v>22</v>
      </c>
      <c r="C84" s="1">
        <v>25</v>
      </c>
      <c r="D84" s="210">
        <f t="shared" si="10"/>
        <v>3.9556962025316458</v>
      </c>
      <c r="E84" s="210">
        <f t="shared" si="9"/>
        <v>197.7848101265823</v>
      </c>
      <c r="F84" s="210">
        <f t="shared" si="11"/>
        <v>256.86338977478221</v>
      </c>
    </row>
    <row r="85" spans="2:6">
      <c r="B85" s="1">
        <v>23</v>
      </c>
      <c r="C85" s="1">
        <v>25</v>
      </c>
      <c r="D85" s="210">
        <f t="shared" si="10"/>
        <v>3.9556962025316458</v>
      </c>
      <c r="E85" s="210">
        <f t="shared" si="9"/>
        <v>197.7848101265823</v>
      </c>
      <c r="F85" s="210">
        <f t="shared" si="11"/>
        <v>256.86338977478221</v>
      </c>
    </row>
    <row r="86" spans="2:6">
      <c r="C86">
        <f>SUM(C63:C85)</f>
        <v>632</v>
      </c>
      <c r="D86">
        <f>SUM(D63:D85)</f>
        <v>99.999999999999943</v>
      </c>
      <c r="E86" s="279">
        <f>SUM(E63:E85)</f>
        <v>5000.0000000000009</v>
      </c>
      <c r="F86" s="430">
        <f>SUM(F63:F85)</f>
        <v>6493.5064935064929</v>
      </c>
    </row>
    <row r="87" spans="2:6">
      <c r="C87">
        <f>C86</f>
        <v>632</v>
      </c>
    </row>
  </sheetData>
  <mergeCells count="12">
    <mergeCell ref="A54:H54"/>
    <mergeCell ref="A34:H34"/>
    <mergeCell ref="A35:H35"/>
    <mergeCell ref="A36:H36"/>
    <mergeCell ref="A37:H37"/>
    <mergeCell ref="A38:H38"/>
    <mergeCell ref="A39:H39"/>
    <mergeCell ref="A46:H46"/>
    <mergeCell ref="A48:H48"/>
    <mergeCell ref="A50:H50"/>
    <mergeCell ref="A51:H51"/>
    <mergeCell ref="A52:H52"/>
  </mergeCells>
  <pageMargins left="0.7" right="0.7" top="0.75" bottom="0.75" header="0.3" footer="0.3"/>
  <pageSetup paperSize="2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zoomScaleNormal="100" workbookViewId="0">
      <selection activeCell="L34" sqref="L34"/>
    </sheetView>
  </sheetViews>
  <sheetFormatPr defaultRowHeight="14.4"/>
  <cols>
    <col min="2" max="2" width="14.33203125" customWidth="1"/>
    <col min="3" max="3" width="18.33203125" bestFit="1" customWidth="1"/>
    <col min="4" max="4" width="17.21875" customWidth="1"/>
    <col min="5" max="8" width="13.109375" customWidth="1"/>
    <col min="9" max="9" width="18.33203125" customWidth="1"/>
    <col min="17" max="17" width="15.44140625" customWidth="1"/>
    <col min="19" max="19" width="10.6640625" customWidth="1"/>
    <col min="21" max="21" width="12.33203125" customWidth="1"/>
  </cols>
  <sheetData>
    <row r="1" spans="1:25">
      <c r="A1" s="316" t="s">
        <v>317</v>
      </c>
      <c r="B1" s="317" t="s">
        <v>22</v>
      </c>
      <c r="C1" s="273" t="s">
        <v>27</v>
      </c>
      <c r="D1" s="273" t="s">
        <v>297</v>
      </c>
      <c r="E1" s="55" t="s">
        <v>298</v>
      </c>
      <c r="F1" s="55" t="s">
        <v>295</v>
      </c>
      <c r="G1" s="55" t="s">
        <v>299</v>
      </c>
      <c r="H1" s="55" t="s">
        <v>255</v>
      </c>
      <c r="I1" s="55" t="s">
        <v>300</v>
      </c>
      <c r="J1" s="274" t="s">
        <v>301</v>
      </c>
      <c r="K1" s="274" t="s">
        <v>302</v>
      </c>
      <c r="L1" s="274" t="s">
        <v>45</v>
      </c>
      <c r="M1" s="274" t="s">
        <v>318</v>
      </c>
      <c r="N1" s="274" t="s">
        <v>112</v>
      </c>
      <c r="O1" s="274" t="s">
        <v>114</v>
      </c>
      <c r="P1" s="274" t="s">
        <v>137</v>
      </c>
      <c r="Q1" s="275" t="s">
        <v>319</v>
      </c>
      <c r="R1" s="275" t="s">
        <v>47</v>
      </c>
      <c r="S1" s="275" t="s">
        <v>48</v>
      </c>
      <c r="T1" s="275" t="s">
        <v>7</v>
      </c>
      <c r="U1" s="274" t="s">
        <v>320</v>
      </c>
    </row>
    <row r="2" spans="1:25">
      <c r="A2" s="316"/>
      <c r="B2" s="317"/>
      <c r="C2" s="273"/>
      <c r="D2" s="273"/>
      <c r="E2" s="55"/>
      <c r="F2" s="55"/>
      <c r="G2" s="55"/>
      <c r="H2" s="55"/>
      <c r="I2" s="55"/>
      <c r="J2" s="501" t="s">
        <v>342</v>
      </c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3"/>
    </row>
    <row r="3" spans="1:25">
      <c r="A3" s="318" t="s">
        <v>370</v>
      </c>
      <c r="B3" s="319" t="s">
        <v>307</v>
      </c>
      <c r="C3" s="277" t="s">
        <v>321</v>
      </c>
      <c r="D3" s="277" t="s">
        <v>322</v>
      </c>
      <c r="E3" s="1">
        <v>0.2</v>
      </c>
      <c r="F3" s="1">
        <v>9</v>
      </c>
      <c r="G3" s="1">
        <v>0.5</v>
      </c>
      <c r="H3" s="1">
        <v>38</v>
      </c>
      <c r="I3" s="352" t="s">
        <v>323</v>
      </c>
      <c r="J3" s="1"/>
      <c r="K3" s="1"/>
      <c r="L3" s="1">
        <v>0.14899999999999999</v>
      </c>
      <c r="M3" s="1"/>
      <c r="N3" s="1"/>
      <c r="O3" s="1"/>
      <c r="P3" s="1"/>
      <c r="Q3" s="1"/>
      <c r="R3" s="1"/>
      <c r="S3" s="1"/>
      <c r="T3" s="1"/>
      <c r="U3" s="1"/>
    </row>
    <row r="4" spans="1:25" s="101" customFormat="1">
      <c r="A4" s="320" t="s">
        <v>371</v>
      </c>
      <c r="B4" s="321" t="s">
        <v>310</v>
      </c>
      <c r="C4" s="278" t="s">
        <v>324</v>
      </c>
      <c r="D4" s="278" t="s">
        <v>322</v>
      </c>
      <c r="E4" s="213">
        <v>0.08</v>
      </c>
      <c r="F4" s="213">
        <v>3.5</v>
      </c>
      <c r="G4" s="213">
        <v>4</v>
      </c>
      <c r="H4" s="213">
        <v>38</v>
      </c>
      <c r="I4" s="353" t="s">
        <v>325</v>
      </c>
      <c r="J4" s="213"/>
      <c r="K4" s="213"/>
      <c r="L4" s="213">
        <v>0.14899999999999999</v>
      </c>
      <c r="M4" s="213"/>
      <c r="N4" s="213"/>
      <c r="O4" s="213"/>
      <c r="P4" s="213"/>
      <c r="Q4" s="213"/>
      <c r="R4" s="213"/>
      <c r="S4" s="213"/>
      <c r="T4" s="213"/>
      <c r="U4" s="213"/>
    </row>
    <row r="5" spans="1:25" s="101" customFormat="1">
      <c r="A5" s="320" t="s">
        <v>372</v>
      </c>
      <c r="B5" s="321" t="s">
        <v>309</v>
      </c>
      <c r="C5" s="278" t="s">
        <v>324</v>
      </c>
      <c r="D5" s="278" t="s">
        <v>322</v>
      </c>
      <c r="E5" s="213">
        <v>0.08</v>
      </c>
      <c r="F5" s="213">
        <v>3.5</v>
      </c>
      <c r="G5" s="213">
        <v>7.0000000000000007E-2</v>
      </c>
      <c r="H5" s="213">
        <v>38</v>
      </c>
      <c r="I5" s="353" t="s">
        <v>326</v>
      </c>
      <c r="J5" s="213"/>
      <c r="K5" s="213"/>
      <c r="L5" s="213">
        <v>0.14899999999999999</v>
      </c>
      <c r="M5" s="213"/>
      <c r="N5" s="213"/>
      <c r="O5" s="213"/>
      <c r="P5" s="213"/>
      <c r="Q5" s="213"/>
      <c r="R5" s="213"/>
      <c r="S5" s="213"/>
      <c r="T5" s="213"/>
      <c r="U5" s="213"/>
    </row>
    <row r="6" spans="1:25" s="101" customFormat="1">
      <c r="A6" s="318" t="s">
        <v>373</v>
      </c>
      <c r="B6" s="321" t="s">
        <v>308</v>
      </c>
      <c r="C6" s="278" t="s">
        <v>321</v>
      </c>
      <c r="D6" s="278" t="s">
        <v>322</v>
      </c>
      <c r="E6" s="213">
        <v>0.2</v>
      </c>
      <c r="F6" s="213">
        <v>9</v>
      </c>
      <c r="G6" s="213">
        <v>0.2</v>
      </c>
      <c r="H6" s="213">
        <v>38</v>
      </c>
      <c r="I6" s="353" t="s">
        <v>327</v>
      </c>
      <c r="J6" s="213"/>
      <c r="K6" s="213"/>
      <c r="L6" s="213">
        <v>0.14899999999999999</v>
      </c>
      <c r="M6" s="213"/>
      <c r="N6" s="213"/>
      <c r="O6" s="213"/>
      <c r="P6" s="213"/>
      <c r="Q6" s="213"/>
      <c r="R6" s="213"/>
      <c r="S6" s="213"/>
      <c r="T6" s="213"/>
      <c r="U6" s="213"/>
    </row>
    <row r="7" spans="1:25" s="101" customFormat="1">
      <c r="A7" s="320" t="s">
        <v>374</v>
      </c>
      <c r="B7" s="322" t="s">
        <v>306</v>
      </c>
      <c r="C7" s="278" t="s">
        <v>321</v>
      </c>
      <c r="D7" s="278" t="s">
        <v>322</v>
      </c>
      <c r="E7" s="213">
        <v>0.2</v>
      </c>
      <c r="F7" s="213">
        <v>12</v>
      </c>
      <c r="G7" s="213">
        <v>2</v>
      </c>
      <c r="H7" s="213">
        <v>38</v>
      </c>
      <c r="I7" s="353" t="s">
        <v>328</v>
      </c>
      <c r="J7" s="213"/>
      <c r="K7" s="213"/>
      <c r="L7" s="213">
        <v>0.59599999999999997</v>
      </c>
      <c r="M7" s="213"/>
      <c r="N7" s="213"/>
      <c r="O7" s="213"/>
      <c r="P7" s="213"/>
      <c r="Q7" s="213"/>
      <c r="R7" s="213"/>
      <c r="S7" s="213"/>
      <c r="T7" s="213"/>
      <c r="U7" s="213"/>
    </row>
    <row r="8" spans="1:25" s="101" customFormat="1">
      <c r="A8" s="320" t="s">
        <v>375</v>
      </c>
      <c r="B8" s="321" t="s">
        <v>304</v>
      </c>
      <c r="C8" s="278" t="s">
        <v>321</v>
      </c>
      <c r="D8" s="278" t="s">
        <v>322</v>
      </c>
      <c r="E8" s="213">
        <v>0.2</v>
      </c>
      <c r="F8" s="213">
        <v>12</v>
      </c>
      <c r="G8" s="213">
        <v>2</v>
      </c>
      <c r="H8" s="213">
        <v>38</v>
      </c>
      <c r="I8" s="353" t="s">
        <v>329</v>
      </c>
      <c r="J8" s="213"/>
      <c r="K8" s="213"/>
      <c r="L8" s="213">
        <v>0.59599999999999997</v>
      </c>
      <c r="M8" s="213"/>
      <c r="N8" s="213"/>
      <c r="O8" s="213"/>
      <c r="P8" s="213"/>
      <c r="Q8" s="213"/>
      <c r="R8" s="213"/>
      <c r="S8" s="213"/>
      <c r="T8" s="213"/>
      <c r="U8" s="213"/>
    </row>
    <row r="9" spans="1:25" s="101" customFormat="1">
      <c r="A9" s="318" t="s">
        <v>376</v>
      </c>
      <c r="B9" s="321" t="s">
        <v>305</v>
      </c>
      <c r="C9" s="278" t="s">
        <v>321</v>
      </c>
      <c r="D9" s="278" t="s">
        <v>322</v>
      </c>
      <c r="E9" s="213">
        <v>0.2</v>
      </c>
      <c r="F9" s="213">
        <v>12</v>
      </c>
      <c r="G9" s="213">
        <v>2</v>
      </c>
      <c r="H9" s="213">
        <v>38</v>
      </c>
      <c r="I9" s="353" t="s">
        <v>330</v>
      </c>
      <c r="J9" s="213"/>
      <c r="K9" s="213"/>
      <c r="L9" s="213">
        <v>0.59599999999999997</v>
      </c>
      <c r="M9" s="213"/>
      <c r="N9" s="213"/>
      <c r="O9" s="213"/>
      <c r="P9" s="213"/>
      <c r="Q9" s="213"/>
      <c r="R9" s="213"/>
      <c r="S9" s="213"/>
      <c r="T9" s="213"/>
      <c r="U9" s="213"/>
    </row>
    <row r="10" spans="1:25" s="101" customFormat="1">
      <c r="A10" s="320" t="s">
        <v>377</v>
      </c>
      <c r="B10" s="321" t="s">
        <v>303</v>
      </c>
      <c r="C10" s="278" t="s">
        <v>321</v>
      </c>
      <c r="D10" s="278" t="s">
        <v>322</v>
      </c>
      <c r="E10" s="213">
        <v>0.2</v>
      </c>
      <c r="F10" s="213">
        <v>9</v>
      </c>
      <c r="G10" s="213">
        <v>2</v>
      </c>
      <c r="H10" s="213">
        <v>38</v>
      </c>
      <c r="I10" s="353" t="s">
        <v>331</v>
      </c>
      <c r="J10" s="213"/>
      <c r="K10" s="213"/>
      <c r="L10" s="213">
        <v>0.59599999999999997</v>
      </c>
      <c r="M10" s="213"/>
      <c r="N10" s="213"/>
      <c r="O10" s="213"/>
      <c r="P10" s="213"/>
      <c r="Q10" s="213"/>
      <c r="R10" s="213"/>
      <c r="S10" s="213"/>
      <c r="T10" s="213"/>
      <c r="U10" s="213"/>
    </row>
    <row r="11" spans="1:25" s="101" customFormat="1">
      <c r="A11" s="320" t="s">
        <v>378</v>
      </c>
      <c r="B11" s="321" t="s">
        <v>312</v>
      </c>
      <c r="C11" s="278" t="s">
        <v>332</v>
      </c>
      <c r="D11" s="278" t="s">
        <v>333</v>
      </c>
      <c r="E11" s="213">
        <v>0.5</v>
      </c>
      <c r="F11" s="213">
        <v>10</v>
      </c>
      <c r="G11" s="213">
        <v>4.99</v>
      </c>
      <c r="H11" s="213">
        <v>20</v>
      </c>
      <c r="I11" s="353" t="s">
        <v>334</v>
      </c>
      <c r="J11" s="213"/>
      <c r="K11" s="213"/>
      <c r="L11" s="213">
        <v>2.1269999999999998</v>
      </c>
      <c r="M11" s="213"/>
      <c r="N11" s="213"/>
      <c r="O11" s="213"/>
      <c r="P11" s="213"/>
      <c r="Q11" s="213"/>
      <c r="R11" s="213"/>
      <c r="S11" s="213">
        <v>3.0000000000000001E-3</v>
      </c>
      <c r="T11" s="213"/>
      <c r="U11" s="213">
        <v>0.35399999999999998</v>
      </c>
      <c r="V11" s="101">
        <v>1.996</v>
      </c>
      <c r="W11" s="101">
        <v>9.4E-2</v>
      </c>
      <c r="X11" s="101">
        <v>3.6999999999999998E-2</v>
      </c>
      <c r="Y11" s="101">
        <f>SUM(V11:X11)</f>
        <v>2.1269999999999998</v>
      </c>
    </row>
    <row r="12" spans="1:25" s="101" customFormat="1">
      <c r="A12" s="318" t="s">
        <v>379</v>
      </c>
      <c r="B12" s="321" t="s">
        <v>311</v>
      </c>
      <c r="C12" s="278" t="s">
        <v>335</v>
      </c>
      <c r="D12" s="278" t="s">
        <v>333</v>
      </c>
      <c r="E12" s="213">
        <v>0.2</v>
      </c>
      <c r="F12" s="213">
        <v>10</v>
      </c>
      <c r="G12" s="213">
        <v>4</v>
      </c>
      <c r="H12" s="213">
        <v>250</v>
      </c>
      <c r="I12" s="353" t="s">
        <v>336</v>
      </c>
      <c r="J12" s="213">
        <v>3.5000000000000003E-2</v>
      </c>
      <c r="K12" s="213">
        <v>2.3E-2</v>
      </c>
      <c r="L12" s="213">
        <v>2.9999999999999997E-4</v>
      </c>
      <c r="M12" s="213">
        <v>1E-3</v>
      </c>
      <c r="N12" s="213"/>
      <c r="O12" s="213"/>
      <c r="P12" s="213"/>
      <c r="Q12" s="213"/>
      <c r="R12" s="213"/>
      <c r="S12" s="213"/>
      <c r="T12" s="213"/>
      <c r="U12" s="213"/>
    </row>
    <row r="13" spans="1:25" s="101" customFormat="1">
      <c r="A13" s="320" t="s">
        <v>380</v>
      </c>
      <c r="B13" s="322" t="s">
        <v>314</v>
      </c>
      <c r="C13" s="278" t="s">
        <v>337</v>
      </c>
      <c r="D13" s="278" t="s">
        <v>338</v>
      </c>
      <c r="E13" s="213">
        <v>1.2</v>
      </c>
      <c r="F13" s="213">
        <v>7</v>
      </c>
      <c r="G13" s="213">
        <v>21</v>
      </c>
      <c r="H13" s="213">
        <v>25</v>
      </c>
      <c r="I13" s="353" t="s">
        <v>339</v>
      </c>
      <c r="J13" s="213"/>
      <c r="K13" s="213"/>
      <c r="L13" s="213">
        <v>1.179</v>
      </c>
      <c r="M13" s="213"/>
      <c r="N13" s="213"/>
      <c r="O13" s="213"/>
      <c r="P13" s="213"/>
      <c r="Q13" s="213">
        <v>0.19900000000000001</v>
      </c>
      <c r="R13" s="213">
        <v>7.4999999999999997E-2</v>
      </c>
      <c r="S13" s="213">
        <v>2.9000000000000001E-2</v>
      </c>
      <c r="T13" s="213"/>
      <c r="U13" s="213">
        <v>0.216</v>
      </c>
    </row>
    <row r="14" spans="1:25" s="101" customFormat="1">
      <c r="A14" s="320" t="s">
        <v>381</v>
      </c>
      <c r="B14" s="321" t="s">
        <v>315</v>
      </c>
      <c r="C14" s="278" t="s">
        <v>335</v>
      </c>
      <c r="D14" s="278" t="s">
        <v>338</v>
      </c>
      <c r="E14" s="213">
        <v>0.2</v>
      </c>
      <c r="F14" s="213">
        <v>20</v>
      </c>
      <c r="G14" s="213">
        <v>15</v>
      </c>
      <c r="H14" s="213">
        <v>20</v>
      </c>
      <c r="I14" s="353" t="s">
        <v>341</v>
      </c>
      <c r="J14" s="213">
        <v>6.6000000000000003E-2</v>
      </c>
      <c r="K14" s="213">
        <v>4.5999999999999999E-2</v>
      </c>
      <c r="L14" s="213">
        <v>3.0000000000000001E-3</v>
      </c>
      <c r="M14" s="213">
        <v>1E-3</v>
      </c>
      <c r="N14" s="213">
        <v>1E-3</v>
      </c>
      <c r="O14" s="213">
        <v>1E-3</v>
      </c>
      <c r="P14" s="213"/>
      <c r="Q14" s="213"/>
      <c r="R14" s="213"/>
      <c r="S14" s="213"/>
      <c r="T14" s="213"/>
      <c r="U14" s="213"/>
    </row>
    <row r="15" spans="1:25" s="101" customFormat="1">
      <c r="A15" s="318" t="s">
        <v>382</v>
      </c>
      <c r="B15" s="321" t="s">
        <v>313</v>
      </c>
      <c r="C15" s="278" t="s">
        <v>335</v>
      </c>
      <c r="D15" s="278" t="s">
        <v>338</v>
      </c>
      <c r="E15" s="213">
        <v>0.35</v>
      </c>
      <c r="F15" s="213">
        <v>20</v>
      </c>
      <c r="G15" s="213">
        <v>5</v>
      </c>
      <c r="H15" s="213">
        <v>180</v>
      </c>
      <c r="I15" s="353" t="s">
        <v>340</v>
      </c>
      <c r="J15" s="213">
        <v>0.21</v>
      </c>
      <c r="K15" s="213">
        <v>1.2</v>
      </c>
      <c r="L15" s="213">
        <v>1.7000000000000001E-2</v>
      </c>
      <c r="M15" s="213">
        <v>1.0999999999999999E-2</v>
      </c>
      <c r="N15" s="213">
        <v>8.0000000000000002E-3</v>
      </c>
      <c r="O15" s="213">
        <v>8.0000000000000002E-3</v>
      </c>
      <c r="P15" s="213">
        <v>3.5999999999999997E-2</v>
      </c>
      <c r="Q15" s="213"/>
      <c r="R15" s="213"/>
      <c r="S15" s="213"/>
      <c r="T15" s="213"/>
      <c r="U15" s="213"/>
    </row>
    <row r="16" spans="1:25">
      <c r="A16" s="320" t="s">
        <v>383</v>
      </c>
      <c r="B16" s="323" t="s">
        <v>316</v>
      </c>
      <c r="C16" s="277" t="s">
        <v>343</v>
      </c>
      <c r="D16" s="278" t="s">
        <v>338</v>
      </c>
      <c r="E16" s="1">
        <v>0.8</v>
      </c>
      <c r="F16" s="1">
        <v>11</v>
      </c>
      <c r="G16" s="1">
        <v>12</v>
      </c>
      <c r="H16" s="1">
        <v>20</v>
      </c>
      <c r="I16" s="352" t="s">
        <v>344</v>
      </c>
      <c r="J16" s="1"/>
      <c r="K16" s="1"/>
      <c r="L16" s="1">
        <v>3.5999999999999997E-2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67"/>
      <c r="B17" s="67"/>
      <c r="J17" s="1">
        <f>SUM(J3:J16)</f>
        <v>0.311</v>
      </c>
      <c r="K17" s="1">
        <f t="shared" ref="K17:U17" si="0">SUM(K3:K16)</f>
        <v>1.2689999999999999</v>
      </c>
      <c r="L17" s="210">
        <f t="shared" si="0"/>
        <v>6.3422999999999998</v>
      </c>
      <c r="M17" s="1">
        <f t="shared" si="0"/>
        <v>1.2999999999999999E-2</v>
      </c>
      <c r="N17" s="1">
        <f t="shared" si="0"/>
        <v>9.0000000000000011E-3</v>
      </c>
      <c r="O17" s="1">
        <f t="shared" si="0"/>
        <v>9.0000000000000011E-3</v>
      </c>
      <c r="P17" s="1">
        <f t="shared" si="0"/>
        <v>3.5999999999999997E-2</v>
      </c>
      <c r="Q17" s="1">
        <f t="shared" si="0"/>
        <v>0.19900000000000001</v>
      </c>
      <c r="R17" s="1">
        <f t="shared" si="0"/>
        <v>7.4999999999999997E-2</v>
      </c>
      <c r="S17" s="1">
        <f t="shared" si="0"/>
        <v>3.2000000000000001E-2</v>
      </c>
      <c r="T17" s="1">
        <f t="shared" si="0"/>
        <v>0</v>
      </c>
      <c r="U17" s="210">
        <f t="shared" si="0"/>
        <v>0.56999999999999995</v>
      </c>
    </row>
    <row r="18" spans="1:21">
      <c r="A18" s="67"/>
      <c r="B18" s="67"/>
      <c r="L18" s="279"/>
    </row>
    <row r="19" spans="1:21">
      <c r="A19" s="67"/>
      <c r="B19" s="67"/>
      <c r="D19" s="106"/>
      <c r="E19" s="106"/>
      <c r="F19" s="106"/>
      <c r="G19" s="106"/>
      <c r="H19" s="106"/>
      <c r="I19" s="278" t="s">
        <v>364</v>
      </c>
      <c r="J19" s="328">
        <f>Koond!AO4</f>
        <v>0.51709411764705882</v>
      </c>
      <c r="K19" s="328">
        <f>Koond!AO5</f>
        <v>2.9548235294117648</v>
      </c>
      <c r="L19" s="328">
        <f>Koond!AO6</f>
        <v>3.6113158355652031</v>
      </c>
      <c r="M19" s="328">
        <f>Koond!AO7</f>
        <v>2.7085882352941175E-2</v>
      </c>
      <c r="N19" s="328">
        <f>Koond!AO9</f>
        <v>0.29055764705882353</v>
      </c>
      <c r="O19" s="328">
        <f>Koond!AO10</f>
        <v>0.28317058823529412</v>
      </c>
      <c r="P19" s="328">
        <f>Koond!AO11</f>
        <v>1.260724705882353</v>
      </c>
      <c r="Q19" s="328">
        <f>Koond!AO15</f>
        <v>3.787878787878788E-2</v>
      </c>
      <c r="R19" s="328">
        <f>Koond!AO16</f>
        <v>0.12626262626262627</v>
      </c>
      <c r="S19" s="328">
        <f>Koond!AO17</f>
        <v>2.5252525252525259E-2</v>
      </c>
      <c r="T19" s="328">
        <f>Koond!AO18</f>
        <v>0.29040404040404044</v>
      </c>
      <c r="U19" s="328">
        <f>Koond!AO19</f>
        <v>0.14378836559575869</v>
      </c>
    </row>
    <row r="20" spans="1:21">
      <c r="D20" s="106"/>
      <c r="E20" s="106"/>
      <c r="F20" s="106"/>
      <c r="G20" s="106"/>
      <c r="H20" s="106"/>
      <c r="J20" s="279"/>
      <c r="K20" s="279"/>
      <c r="L20" s="279"/>
      <c r="M20" s="279"/>
      <c r="P20" s="279"/>
      <c r="Q20" s="279"/>
      <c r="R20" s="279"/>
      <c r="S20" s="279"/>
      <c r="T20" s="279"/>
      <c r="U20" s="279"/>
    </row>
    <row r="21" spans="1:21" s="227" customFormat="1">
      <c r="H21" s="280"/>
      <c r="I21" s="281" t="s">
        <v>345</v>
      </c>
      <c r="J21" s="282">
        <f>J17+J19</f>
        <v>0.82809411764705887</v>
      </c>
      <c r="K21" s="282">
        <f t="shared" ref="K21:U21" si="1">K17+K19</f>
        <v>4.2238235294117645</v>
      </c>
      <c r="L21" s="282">
        <f t="shared" si="1"/>
        <v>9.953615835565202</v>
      </c>
      <c r="M21" s="282">
        <f t="shared" si="1"/>
        <v>4.0085882352941173E-2</v>
      </c>
      <c r="N21" s="282">
        <f t="shared" si="1"/>
        <v>0.29955764705882354</v>
      </c>
      <c r="O21" s="282">
        <f t="shared" si="1"/>
        <v>0.29217058823529413</v>
      </c>
      <c r="P21" s="282">
        <f t="shared" si="1"/>
        <v>1.296724705882353</v>
      </c>
      <c r="Q21" s="282">
        <f t="shared" si="1"/>
        <v>0.23687878787878788</v>
      </c>
      <c r="R21" s="282">
        <f t="shared" si="1"/>
        <v>0.20126262626262625</v>
      </c>
      <c r="S21" s="282">
        <f t="shared" si="1"/>
        <v>5.7252525252525263E-2</v>
      </c>
      <c r="T21" s="282">
        <f t="shared" si="1"/>
        <v>0.29040404040404044</v>
      </c>
      <c r="U21" s="282">
        <f t="shared" si="1"/>
        <v>0.71378836559575864</v>
      </c>
    </row>
    <row r="22" spans="1:21">
      <c r="H22" s="59"/>
      <c r="I22" s="106"/>
    </row>
    <row r="23" spans="1:21">
      <c r="H23" s="59"/>
      <c r="I23" s="106"/>
    </row>
    <row r="24" spans="1:21">
      <c r="H24" s="59"/>
      <c r="I24" s="106"/>
    </row>
    <row r="25" spans="1:21">
      <c r="H25" s="59"/>
      <c r="I25" s="106"/>
    </row>
    <row r="26" spans="1:21">
      <c r="H26" s="59"/>
      <c r="I26" s="106"/>
    </row>
    <row r="27" spans="1:21">
      <c r="H27" s="58"/>
      <c r="I27" s="106"/>
    </row>
    <row r="28" spans="1:21">
      <c r="H28" s="276"/>
      <c r="I28" s="106"/>
    </row>
    <row r="29" spans="1:21">
      <c r="H29" s="276"/>
      <c r="I29" s="106"/>
    </row>
  </sheetData>
  <mergeCells count="1">
    <mergeCell ref="J2:U2"/>
  </mergeCells>
  <hyperlinks>
    <hyperlink ref="B3" r:id="rId1" display="https://kotkas.envir.ee/registry_emission_source/emission_source_view?registry_code=HEIT0008480"/>
    <hyperlink ref="B4" r:id="rId2" display="https://kotkas.envir.ee/registry_emission_source/emission_source_view?registry_code=HEIT0008483"/>
    <hyperlink ref="B5" r:id="rId3" display="https://kotkas.envir.ee/registry_emission_source/emission_source_view?registry_code=HEIT0008482"/>
    <hyperlink ref="B6" r:id="rId4" display="https://kotkas.envir.ee/registry_emission_source/emission_source_view?registry_code=HEIT0008487"/>
    <hyperlink ref="B7" r:id="rId5" display="https://kotkas.envir.ee/registry_emission_source/emission_source_view?registry_code=HEIT0008486"/>
    <hyperlink ref="B8" r:id="rId6" display="https://kotkas.envir.ee/registry_emission_source/emission_source_view?registry_code=HEIT0008481"/>
    <hyperlink ref="B9" r:id="rId7" display="https://kotkas.envir.ee/registry_emission_source/emission_source_view?registry_code=HEIT0008479"/>
    <hyperlink ref="B10" r:id="rId8" display="https://kotkas.envir.ee/registry_emission_source/emission_source_view?registry_code=HEIT0008484"/>
    <hyperlink ref="B11" r:id="rId9" display="https://kotkas.envir.ee/registry_emission_source/emission_source_view?registry_code=HEIT0005715"/>
    <hyperlink ref="B12" r:id="rId10" display="https://kotkas.envir.ee/registry_emission_source/emission_source_view?registry_code=HEIT0005714"/>
    <hyperlink ref="B13" r:id="rId11" display="https://kotkas.envir.ee/registry_emission_source/emission_source_view?registry_code=HEIT0006921"/>
    <hyperlink ref="B14" r:id="rId12" display="https://kotkas.envir.ee/registry_emission_source/emission_source_view?registry_code=HEIT0006922"/>
    <hyperlink ref="B15" r:id="rId13" display="https://kotkas.envir.ee/registry_emission_source/emission_source_view?registry_code=HEIT0006923"/>
    <hyperlink ref="B16" r:id="rId14" display="https://kotkas.envir.ee/registry_emission_source/emission_source_view?registry_code=HEIT0006854"/>
  </hyperlinks>
  <pageMargins left="0.7" right="0.7" top="0.75" bottom="0.75" header="0.3" footer="0.3"/>
  <pageSetup paperSize="9" orientation="portrait" r:id="rId1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9"/>
  <sheetViews>
    <sheetView tabSelected="1" workbookViewId="0">
      <selection activeCell="G33" sqref="G33"/>
    </sheetView>
  </sheetViews>
  <sheetFormatPr defaultRowHeight="14.4"/>
  <cols>
    <col min="1" max="1" width="11.5546875" bestFit="1" customWidth="1"/>
    <col min="2" max="2" width="26" customWidth="1"/>
    <col min="3" max="3" width="10.6640625" customWidth="1"/>
    <col min="4" max="20" width="8.88671875" customWidth="1"/>
    <col min="21" max="22" width="9.5546875" customWidth="1"/>
    <col min="23" max="23" width="11.21875" customWidth="1"/>
    <col min="24" max="24" width="11.33203125" customWidth="1"/>
    <col min="25" max="25" width="9.21875" customWidth="1"/>
    <col min="26" max="32" width="9.5546875" customWidth="1"/>
    <col min="33" max="41" width="8.88671875" customWidth="1"/>
  </cols>
  <sheetData>
    <row r="1" spans="1:42">
      <c r="C1" t="s">
        <v>350</v>
      </c>
    </row>
    <row r="2" spans="1:42" s="115" customFormat="1">
      <c r="A2" s="331" t="s">
        <v>97</v>
      </c>
      <c r="B2" s="332" t="s">
        <v>98</v>
      </c>
      <c r="C2" s="506" t="s">
        <v>191</v>
      </c>
      <c r="D2" s="507"/>
      <c r="E2" s="506" t="s">
        <v>44</v>
      </c>
      <c r="F2" s="507"/>
      <c r="G2" s="506" t="s">
        <v>71</v>
      </c>
      <c r="H2" s="507"/>
      <c r="I2" s="506" t="s">
        <v>351</v>
      </c>
      <c r="J2" s="507"/>
      <c r="K2" s="506" t="s">
        <v>352</v>
      </c>
      <c r="L2" s="507"/>
      <c r="M2" s="506" t="s">
        <v>353</v>
      </c>
      <c r="N2" s="507"/>
      <c r="O2" s="506" t="s">
        <v>354</v>
      </c>
      <c r="P2" s="507"/>
      <c r="Q2" s="506" t="s">
        <v>355</v>
      </c>
      <c r="R2" s="507"/>
      <c r="S2" s="506" t="s">
        <v>356</v>
      </c>
      <c r="T2" s="507"/>
      <c r="U2" s="506" t="s">
        <v>357</v>
      </c>
      <c r="V2" s="507"/>
      <c r="W2" s="506" t="s">
        <v>358</v>
      </c>
      <c r="X2" s="507"/>
      <c r="Y2" s="506" t="s">
        <v>359</v>
      </c>
      <c r="Z2" s="507"/>
      <c r="AA2" s="506" t="s">
        <v>360</v>
      </c>
      <c r="AB2" s="507"/>
      <c r="AC2" s="506" t="s">
        <v>363</v>
      </c>
      <c r="AD2" s="507"/>
      <c r="AE2" s="506" t="s">
        <v>193</v>
      </c>
      <c r="AF2" s="509"/>
      <c r="AG2" s="506" t="s">
        <v>198</v>
      </c>
      <c r="AH2" s="507"/>
      <c r="AI2" s="508" t="s">
        <v>201</v>
      </c>
      <c r="AJ2" s="508"/>
      <c r="AK2" s="508" t="s">
        <v>204</v>
      </c>
      <c r="AL2" s="508"/>
      <c r="AM2" s="508" t="s">
        <v>207</v>
      </c>
      <c r="AN2" s="508"/>
      <c r="AO2" s="504" t="s">
        <v>345</v>
      </c>
      <c r="AP2" s="505"/>
    </row>
    <row r="3" spans="1:42" s="115" customFormat="1">
      <c r="A3" s="331"/>
      <c r="B3" s="332"/>
      <c r="C3" s="332" t="s">
        <v>252</v>
      </c>
      <c r="D3" s="332" t="s">
        <v>12</v>
      </c>
      <c r="E3" s="332" t="s">
        <v>252</v>
      </c>
      <c r="F3" s="332" t="s">
        <v>12</v>
      </c>
      <c r="G3" s="332" t="s">
        <v>252</v>
      </c>
      <c r="H3" s="332" t="s">
        <v>12</v>
      </c>
      <c r="I3" s="332" t="s">
        <v>252</v>
      </c>
      <c r="J3" s="332" t="s">
        <v>12</v>
      </c>
      <c r="K3" s="332" t="s">
        <v>252</v>
      </c>
      <c r="L3" s="332" t="s">
        <v>12</v>
      </c>
      <c r="M3" s="332" t="s">
        <v>252</v>
      </c>
      <c r="N3" s="332" t="s">
        <v>12</v>
      </c>
      <c r="O3" s="332" t="s">
        <v>252</v>
      </c>
      <c r="P3" s="332" t="s">
        <v>12</v>
      </c>
      <c r="Q3" s="332" t="s">
        <v>252</v>
      </c>
      <c r="R3" s="332" t="s">
        <v>12</v>
      </c>
      <c r="S3" s="332" t="s">
        <v>252</v>
      </c>
      <c r="T3" s="332" t="s">
        <v>12</v>
      </c>
      <c r="U3" s="332" t="s">
        <v>252</v>
      </c>
      <c r="V3" s="332" t="s">
        <v>12</v>
      </c>
      <c r="W3" s="332" t="s">
        <v>252</v>
      </c>
      <c r="X3" s="332" t="s">
        <v>12</v>
      </c>
      <c r="Y3" s="332" t="s">
        <v>252</v>
      </c>
      <c r="Z3" s="332" t="s">
        <v>12</v>
      </c>
      <c r="AA3" s="332" t="s">
        <v>252</v>
      </c>
      <c r="AB3" s="332" t="s">
        <v>12</v>
      </c>
      <c r="AC3" s="332" t="s">
        <v>252</v>
      </c>
      <c r="AD3" s="332" t="s">
        <v>12</v>
      </c>
      <c r="AE3" s="332" t="s">
        <v>252</v>
      </c>
      <c r="AF3" s="332" t="s">
        <v>12</v>
      </c>
      <c r="AG3" s="332" t="s">
        <v>252</v>
      </c>
      <c r="AH3" s="332" t="s">
        <v>12</v>
      </c>
      <c r="AI3" s="332" t="s">
        <v>252</v>
      </c>
      <c r="AJ3" s="332" t="s">
        <v>12</v>
      </c>
      <c r="AK3" s="332" t="s">
        <v>252</v>
      </c>
      <c r="AL3" s="332" t="s">
        <v>12</v>
      </c>
      <c r="AM3" s="332" t="s">
        <v>252</v>
      </c>
      <c r="AN3" s="332" t="s">
        <v>12</v>
      </c>
      <c r="AO3" s="332" t="s">
        <v>252</v>
      </c>
      <c r="AP3" s="332" t="s">
        <v>12</v>
      </c>
    </row>
    <row r="4" spans="1:42" s="341" customFormat="1">
      <c r="A4" s="137" t="s">
        <v>103</v>
      </c>
      <c r="B4" s="324" t="s">
        <v>104</v>
      </c>
      <c r="C4" s="325">
        <f>'K1 Põletusseade '!N8</f>
        <v>0.51709411764705882</v>
      </c>
      <c r="D4" s="326">
        <f>'K1 Põletusseade '!O8</f>
        <v>10.582336799999998</v>
      </c>
      <c r="E4" s="327"/>
      <c r="F4" s="327"/>
      <c r="G4" s="342"/>
      <c r="H4" s="343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3"/>
      <c r="AB4" s="343"/>
      <c r="AC4" s="344"/>
      <c r="AD4" s="344"/>
      <c r="AE4" s="344"/>
      <c r="AF4" s="344"/>
      <c r="AG4" s="344"/>
      <c r="AH4" s="344"/>
      <c r="AI4" s="342"/>
      <c r="AJ4" s="265"/>
      <c r="AK4" s="345"/>
      <c r="AL4" s="344"/>
      <c r="AM4" s="344"/>
      <c r="AN4" s="344"/>
      <c r="AO4" s="351">
        <f>C4+E4+G4+I4+K4+M4+O4+Q4+S4+U4+W4+Y4+AA4+AC4+AG4+AI4+AK4+AM4+AE4</f>
        <v>0.51709411764705882</v>
      </c>
      <c r="AP4" s="351">
        <f>D4+F4+H4+J4+L4+N4+P4+R4+T4+V4+X4+Z4+AB4+AD4+AH4+AJ4+AL4+AN4+AF4</f>
        <v>10.582336799999998</v>
      </c>
    </row>
    <row r="5" spans="1:42" s="341" customFormat="1">
      <c r="A5" s="137" t="s">
        <v>106</v>
      </c>
      <c r="B5" s="324" t="s">
        <v>107</v>
      </c>
      <c r="C5" s="325">
        <f>'K1 Põletusseade '!N9</f>
        <v>2.9548235294117648</v>
      </c>
      <c r="D5" s="326">
        <f>'K1 Põletusseade '!O9</f>
        <v>60.47049599999999</v>
      </c>
      <c r="E5" s="327"/>
      <c r="F5" s="327"/>
      <c r="G5" s="342"/>
      <c r="H5" s="343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3"/>
      <c r="AB5" s="343"/>
      <c r="AC5" s="344"/>
      <c r="AD5" s="344"/>
      <c r="AE5" s="344"/>
      <c r="AF5" s="344"/>
      <c r="AG5" s="344"/>
      <c r="AH5" s="344"/>
      <c r="AI5" s="342"/>
      <c r="AJ5" s="265"/>
      <c r="AK5" s="345"/>
      <c r="AL5" s="344"/>
      <c r="AM5" s="344"/>
      <c r="AN5" s="344"/>
      <c r="AO5" s="351">
        <f t="shared" ref="AO5:AO19" si="0">C5+E5+G5+I5+K5+M5+O5+Q5+S5+U5+W5+Y5+AA5+AC5+AG5+AI5+AK5+AM5+AE5</f>
        <v>2.9548235294117648</v>
      </c>
      <c r="AP5" s="351">
        <f t="shared" ref="AP5:AP19" si="1">D5+F5+H5+J5+L5+N5+P5+R5+T5+V5+X5+Z5+AB5+AD5+AH5+AJ5+AL5+AN5+AF5</f>
        <v>60.47049599999999</v>
      </c>
    </row>
    <row r="6" spans="1:42" s="341" customFormat="1" ht="43.2">
      <c r="A6" s="337" t="s">
        <v>108</v>
      </c>
      <c r="B6" s="324" t="s">
        <v>361</v>
      </c>
      <c r="C6" s="325">
        <f>'K1 Põletusseade '!N10</f>
        <v>4.1860000000000001E-2</v>
      </c>
      <c r="D6" s="326">
        <f>'K1 Põletusseade '!O10</f>
        <v>0.85666535999999982</v>
      </c>
      <c r="E6" s="329">
        <f>'Parafiini laadimine mahutitesse'!L5+'Parafiini hoiustamine'!Y27</f>
        <v>0.58419131110441491</v>
      </c>
      <c r="F6" s="327">
        <f>'Parafiini laadimine mahutitesse'!M5+'Parafiini hoiustamine'!Z27</f>
        <v>0.53512018230465719</v>
      </c>
      <c r="G6" s="342">
        <f>Lahustid!J26</f>
        <v>0.19133790336365025</v>
      </c>
      <c r="H6" s="265">
        <f>Lahustid!K26</f>
        <v>0.22402609523809522</v>
      </c>
      <c r="I6" s="342">
        <f t="shared" ref="I6:N6" si="2">G6</f>
        <v>0.19133790336365025</v>
      </c>
      <c r="J6" s="265">
        <f t="shared" si="2"/>
        <v>0.22402609523809522</v>
      </c>
      <c r="K6" s="342">
        <f t="shared" si="2"/>
        <v>0.19133790336365025</v>
      </c>
      <c r="L6" s="265">
        <f t="shared" si="2"/>
        <v>0.22402609523809522</v>
      </c>
      <c r="M6" s="342">
        <f t="shared" si="2"/>
        <v>0.19133790336365025</v>
      </c>
      <c r="N6" s="265">
        <f t="shared" si="2"/>
        <v>0.22402609523809522</v>
      </c>
      <c r="O6" s="342">
        <f>Lahustid!J37</f>
        <v>0.21491738346486949</v>
      </c>
      <c r="P6" s="265">
        <f>Lahustid!K37</f>
        <v>0.22527609523809522</v>
      </c>
      <c r="Q6" s="342">
        <f>O6</f>
        <v>0.21491738346486949</v>
      </c>
      <c r="R6" s="265">
        <f>P6</f>
        <v>0.22527609523809522</v>
      </c>
      <c r="S6" s="342">
        <f>Q6</f>
        <v>0.21491738346486949</v>
      </c>
      <c r="T6" s="265">
        <f>R6</f>
        <v>0.22527609523809522</v>
      </c>
      <c r="U6" s="342">
        <f>Lahustid!J54</f>
        <v>0.25925925925925924</v>
      </c>
      <c r="V6" s="265">
        <f>Lahustid!K54</f>
        <v>0.24034666666666668</v>
      </c>
      <c r="W6" s="342">
        <f t="shared" ref="W6:AD6" si="3">U6</f>
        <v>0.25925925925925924</v>
      </c>
      <c r="X6" s="265">
        <f t="shared" si="3"/>
        <v>0.24034666666666668</v>
      </c>
      <c r="Y6" s="342">
        <f t="shared" si="3"/>
        <v>0.25925925925925924</v>
      </c>
      <c r="Z6" s="265">
        <f t="shared" si="3"/>
        <v>0.24034666666666668</v>
      </c>
      <c r="AA6" s="342">
        <f t="shared" si="3"/>
        <v>0.25925925925925924</v>
      </c>
      <c r="AB6" s="265">
        <f t="shared" si="3"/>
        <v>0.24034666666666668</v>
      </c>
      <c r="AC6" s="342">
        <f t="shared" si="3"/>
        <v>0.25925925925925924</v>
      </c>
      <c r="AD6" s="265">
        <f t="shared" si="3"/>
        <v>0.24034666666666668</v>
      </c>
      <c r="AE6" s="342">
        <f>Lahustid!J66</f>
        <v>9.2592592592592587E-2</v>
      </c>
      <c r="AF6" s="265">
        <f>Lahustid!K66</f>
        <v>0.20186666666666667</v>
      </c>
      <c r="AG6" s="342">
        <f>Lahustid!J78</f>
        <v>9.3135935861345692E-2</v>
      </c>
      <c r="AH6" s="265">
        <f>Lahustid!K78</f>
        <v>0.20446567916666666</v>
      </c>
      <c r="AI6" s="342">
        <f>AG6</f>
        <v>9.3135935861345692E-2</v>
      </c>
      <c r="AJ6" s="265">
        <f>AH6</f>
        <v>0.20446567916666666</v>
      </c>
      <c r="AK6" s="342"/>
      <c r="AL6" s="344"/>
      <c r="AM6" s="344"/>
      <c r="AN6" s="344"/>
      <c r="AO6" s="351">
        <f t="shared" si="0"/>
        <v>3.6113158355652031</v>
      </c>
      <c r="AP6" s="351">
        <f>D6+F6+H6+J6+L6+N6+P6+R6+T6+V6+X6+Z6+AB6+AD6+AH6+AJ6+AL6+AN6+AF6</f>
        <v>4.7762495673046566</v>
      </c>
    </row>
    <row r="7" spans="1:42" s="341" customFormat="1">
      <c r="A7" s="338" t="s">
        <v>110</v>
      </c>
      <c r="B7" s="324" t="s">
        <v>111</v>
      </c>
      <c r="C7" s="325">
        <f>'K1 Põletusseade '!N11</f>
        <v>2.7085882352941175E-2</v>
      </c>
      <c r="D7" s="326">
        <f>'K1 Põletusseade '!O11</f>
        <v>0.5543128799999999</v>
      </c>
      <c r="E7" s="327"/>
      <c r="F7" s="327"/>
      <c r="G7" s="342"/>
      <c r="H7" s="26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265"/>
      <c r="AB7" s="265"/>
      <c r="AC7" s="345"/>
      <c r="AD7" s="345"/>
      <c r="AE7" s="345"/>
      <c r="AF7" s="345"/>
      <c r="AG7" s="345"/>
      <c r="AH7" s="345"/>
      <c r="AI7" s="342"/>
      <c r="AJ7" s="265"/>
      <c r="AK7" s="345"/>
      <c r="AL7" s="344"/>
      <c r="AM7" s="344"/>
      <c r="AN7" s="344"/>
      <c r="AO7" s="351">
        <f t="shared" si="0"/>
        <v>2.7085882352941175E-2</v>
      </c>
      <c r="AP7" s="351">
        <f t="shared" si="1"/>
        <v>0.5543128799999999</v>
      </c>
    </row>
    <row r="8" spans="1:42" s="341" customFormat="1">
      <c r="A8" s="140" t="s">
        <v>72</v>
      </c>
      <c r="B8" s="324" t="s">
        <v>73</v>
      </c>
      <c r="C8" s="325">
        <f>'K1 Põletusseade '!N12</f>
        <v>0.29055764705882353</v>
      </c>
      <c r="D8" s="326">
        <f>'K1 Põletusseade '!O12</f>
        <v>5.9462654399999995</v>
      </c>
      <c r="E8" s="329"/>
      <c r="F8" s="327"/>
      <c r="G8" s="342"/>
      <c r="H8" s="265"/>
      <c r="I8" s="342"/>
      <c r="J8" s="265"/>
      <c r="K8" s="342"/>
      <c r="L8" s="265"/>
      <c r="M8" s="346"/>
      <c r="N8" s="347"/>
      <c r="O8" s="346"/>
      <c r="P8" s="348"/>
      <c r="Q8" s="346"/>
      <c r="R8" s="348"/>
      <c r="S8" s="346"/>
      <c r="T8" s="348"/>
      <c r="U8" s="346"/>
      <c r="V8" s="348"/>
      <c r="W8" s="346"/>
      <c r="X8" s="348"/>
      <c r="Y8" s="346"/>
      <c r="Z8" s="348"/>
      <c r="AA8" s="346"/>
      <c r="AB8" s="348"/>
      <c r="AC8" s="349"/>
      <c r="AD8" s="345"/>
      <c r="AE8" s="345"/>
      <c r="AF8" s="345"/>
      <c r="AG8" s="345"/>
      <c r="AH8" s="345"/>
      <c r="AI8" s="342"/>
      <c r="AJ8" s="265"/>
      <c r="AK8" s="265">
        <f>'Puidu tolm'!K14</f>
        <v>1.0384615384615389E-3</v>
      </c>
      <c r="AL8" s="343">
        <f>'Puidu tolm'!L18</f>
        <v>1.6329600000000007E-2</v>
      </c>
      <c r="AM8" s="343">
        <f>AK8</f>
        <v>1.0384615384615389E-3</v>
      </c>
      <c r="AN8" s="343">
        <f>'Puidu tolm'!L19</f>
        <v>1.6329600000000007E-2</v>
      </c>
      <c r="AO8" s="351">
        <f t="shared" si="0"/>
        <v>0.29263457013574662</v>
      </c>
      <c r="AP8" s="351">
        <f t="shared" si="1"/>
        <v>5.9789246399999989</v>
      </c>
    </row>
    <row r="9" spans="1:42" s="341" customFormat="1">
      <c r="A9" s="137" t="s">
        <v>112</v>
      </c>
      <c r="B9" s="324" t="s">
        <v>113</v>
      </c>
      <c r="C9" s="325">
        <f>'K1 Põletusseade '!N13</f>
        <v>0.29055764705882353</v>
      </c>
      <c r="D9" s="326">
        <f>'K1 Põletusseade '!O13</f>
        <v>5.9462654399999995</v>
      </c>
      <c r="E9" s="329"/>
      <c r="F9" s="327"/>
      <c r="G9" s="342"/>
      <c r="H9" s="265"/>
      <c r="I9" s="342"/>
      <c r="J9" s="265"/>
      <c r="K9" s="342"/>
      <c r="L9" s="265"/>
      <c r="M9" s="346"/>
      <c r="N9" s="348"/>
      <c r="O9" s="346"/>
      <c r="P9" s="348"/>
      <c r="Q9" s="346"/>
      <c r="R9" s="348"/>
      <c r="S9" s="346"/>
      <c r="T9" s="348"/>
      <c r="U9" s="346"/>
      <c r="V9" s="348"/>
      <c r="W9" s="346"/>
      <c r="X9" s="348"/>
      <c r="Y9" s="346"/>
      <c r="Z9" s="348"/>
      <c r="AA9" s="346"/>
      <c r="AB9" s="348"/>
      <c r="AC9" s="350"/>
      <c r="AD9" s="345"/>
      <c r="AE9" s="345"/>
      <c r="AF9" s="345"/>
      <c r="AG9" s="345"/>
      <c r="AH9" s="345"/>
      <c r="AI9" s="342"/>
      <c r="AJ9" s="265"/>
      <c r="AK9" s="345"/>
      <c r="AL9" s="344"/>
      <c r="AM9" s="344"/>
      <c r="AN9" s="344"/>
      <c r="AO9" s="351">
        <f t="shared" si="0"/>
        <v>0.29055764705882353</v>
      </c>
      <c r="AP9" s="351">
        <f t="shared" si="1"/>
        <v>5.9462654399999995</v>
      </c>
    </row>
    <row r="10" spans="1:42" s="341" customFormat="1">
      <c r="A10" s="137" t="s">
        <v>114</v>
      </c>
      <c r="B10" s="324" t="s">
        <v>115</v>
      </c>
      <c r="C10" s="325">
        <f>'K1 Põletusseade '!N14</f>
        <v>0.28317058823529412</v>
      </c>
      <c r="D10" s="326">
        <f>'K1 Põletusseade '!O14</f>
        <v>5.7950891999999996</v>
      </c>
      <c r="E10" s="329"/>
      <c r="F10" s="327"/>
      <c r="G10" s="342"/>
      <c r="H10" s="265"/>
      <c r="I10" s="345"/>
      <c r="J10" s="345"/>
      <c r="K10" s="345"/>
      <c r="L10" s="345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8"/>
      <c r="AB10" s="348"/>
      <c r="AC10" s="347"/>
      <c r="AD10" s="345"/>
      <c r="AE10" s="345"/>
      <c r="AF10" s="345"/>
      <c r="AG10" s="345"/>
      <c r="AH10" s="345"/>
      <c r="AI10" s="342"/>
      <c r="AJ10" s="265"/>
      <c r="AK10" s="345"/>
      <c r="AL10" s="344"/>
      <c r="AM10" s="344"/>
      <c r="AN10" s="344"/>
      <c r="AO10" s="351">
        <f t="shared" si="0"/>
        <v>0.28317058823529412</v>
      </c>
      <c r="AP10" s="351">
        <f t="shared" si="1"/>
        <v>5.7950891999999996</v>
      </c>
    </row>
    <row r="11" spans="1:42" s="341" customFormat="1">
      <c r="A11" s="137" t="s">
        <v>136</v>
      </c>
      <c r="B11" s="330" t="s">
        <v>137</v>
      </c>
      <c r="C11" s="325">
        <f>'K1 Põletusseade '!N24</f>
        <v>1.260724705882353</v>
      </c>
      <c r="D11" s="326">
        <f>'K1 Põletusseade '!O24</f>
        <v>25.800744959999996</v>
      </c>
      <c r="E11" s="327"/>
      <c r="F11" s="327"/>
      <c r="G11" s="342"/>
      <c r="H11" s="265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5"/>
      <c r="V11" s="344"/>
      <c r="W11" s="344"/>
      <c r="X11" s="344"/>
      <c r="Y11" s="344"/>
      <c r="Z11" s="344"/>
      <c r="AA11" s="343"/>
      <c r="AB11" s="343"/>
      <c r="AC11" s="344"/>
      <c r="AD11" s="344"/>
      <c r="AE11" s="344"/>
      <c r="AF11" s="344"/>
      <c r="AG11" s="344"/>
      <c r="AH11" s="344"/>
      <c r="AI11" s="342"/>
      <c r="AJ11" s="265"/>
      <c r="AK11" s="345"/>
      <c r="AL11" s="344"/>
      <c r="AM11" s="344"/>
      <c r="AN11" s="344"/>
      <c r="AO11" s="351">
        <f t="shared" si="0"/>
        <v>1.260724705882353</v>
      </c>
      <c r="AP11" s="351">
        <f t="shared" si="1"/>
        <v>25.800744959999996</v>
      </c>
    </row>
    <row r="12" spans="1:42" s="341" customFormat="1">
      <c r="A12" s="336" t="s">
        <v>138</v>
      </c>
      <c r="B12" s="333" t="s">
        <v>139</v>
      </c>
      <c r="C12" s="325">
        <f>'K1 Põletusseade '!N25</f>
        <v>9.1107058823529416E-2</v>
      </c>
      <c r="D12" s="326">
        <f>'K1 Põletusseade '!O25</f>
        <v>1.8645069599999997</v>
      </c>
      <c r="E12" s="327"/>
      <c r="F12" s="327"/>
      <c r="G12" s="342"/>
      <c r="H12" s="265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5"/>
      <c r="V12" s="344"/>
      <c r="W12" s="344"/>
      <c r="X12" s="344"/>
      <c r="Y12" s="344"/>
      <c r="Z12" s="344"/>
      <c r="AA12" s="343"/>
      <c r="AB12" s="343"/>
      <c r="AC12" s="344"/>
      <c r="AD12" s="344"/>
      <c r="AE12" s="344"/>
      <c r="AF12" s="344"/>
      <c r="AG12" s="344"/>
      <c r="AH12" s="344"/>
      <c r="AI12" s="342"/>
      <c r="AJ12" s="265"/>
      <c r="AK12" s="345"/>
      <c r="AL12" s="344"/>
      <c r="AM12" s="344"/>
      <c r="AN12" s="344"/>
      <c r="AO12" s="351">
        <f t="shared" si="0"/>
        <v>9.1107058823529416E-2</v>
      </c>
      <c r="AP12" s="351">
        <f t="shared" si="1"/>
        <v>1.8645069599999997</v>
      </c>
    </row>
    <row r="13" spans="1:42" s="341" customFormat="1">
      <c r="A13" s="335" t="s">
        <v>362</v>
      </c>
      <c r="B13" s="334" t="s">
        <v>173</v>
      </c>
      <c r="C13" s="325"/>
      <c r="D13" s="326">
        <f>'K1 Põletusseade '!O32</f>
        <v>5520.6337754879987</v>
      </c>
      <c r="E13" s="327"/>
      <c r="F13" s="327"/>
      <c r="G13" s="342"/>
      <c r="H13" s="265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5"/>
      <c r="V13" s="344"/>
      <c r="W13" s="344"/>
      <c r="X13" s="344"/>
      <c r="Y13" s="344"/>
      <c r="Z13" s="344"/>
      <c r="AA13" s="343"/>
      <c r="AB13" s="343"/>
      <c r="AC13" s="344"/>
      <c r="AD13" s="344"/>
      <c r="AE13" s="344"/>
      <c r="AF13" s="344"/>
      <c r="AG13" s="344"/>
      <c r="AH13" s="344"/>
      <c r="AI13" s="342"/>
      <c r="AJ13" s="265"/>
      <c r="AK13" s="345"/>
      <c r="AL13" s="344"/>
      <c r="AM13" s="344"/>
      <c r="AN13" s="344"/>
      <c r="AO13" s="351">
        <f t="shared" si="0"/>
        <v>0</v>
      </c>
      <c r="AP13" s="351">
        <f t="shared" si="1"/>
        <v>5520.6337754879987</v>
      </c>
    </row>
    <row r="14" spans="1:42" s="341" customFormat="1">
      <c r="A14" s="335" t="s">
        <v>147</v>
      </c>
      <c r="B14" s="335" t="s">
        <v>148</v>
      </c>
      <c r="C14" s="325"/>
      <c r="D14" s="326">
        <f>'K1 Põletusseade '!O31</f>
        <v>2825.3836799999999</v>
      </c>
      <c r="E14" s="327"/>
      <c r="F14" s="327"/>
      <c r="G14" s="342"/>
      <c r="H14" s="26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265"/>
      <c r="AB14" s="265"/>
      <c r="AC14" s="345"/>
      <c r="AD14" s="345"/>
      <c r="AE14" s="345"/>
      <c r="AF14" s="345"/>
      <c r="AG14" s="345"/>
      <c r="AH14" s="345"/>
      <c r="AI14" s="342"/>
      <c r="AJ14" s="265"/>
      <c r="AK14" s="345"/>
      <c r="AL14" s="344"/>
      <c r="AM14" s="344"/>
      <c r="AN14" s="344"/>
      <c r="AO14" s="351">
        <f t="shared" si="0"/>
        <v>0</v>
      </c>
      <c r="AP14" s="351">
        <f t="shared" si="1"/>
        <v>2825.3836799999999</v>
      </c>
    </row>
    <row r="15" spans="1:42" s="341" customFormat="1">
      <c r="A15" s="339" t="s">
        <v>265</v>
      </c>
      <c r="B15" s="74" t="s">
        <v>46</v>
      </c>
      <c r="C15" s="325"/>
      <c r="D15" s="326"/>
      <c r="E15" s="327"/>
      <c r="F15" s="327"/>
      <c r="G15" s="342"/>
      <c r="H15" s="343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2">
        <f>Lahustid!J48</f>
        <v>7.575757575757576E-3</v>
      </c>
      <c r="V15" s="343">
        <f>Lahustid!K48</f>
        <v>1.1454545454545456E-3</v>
      </c>
      <c r="W15" s="363">
        <f t="shared" ref="W15:AD15" si="4">U15</f>
        <v>7.575757575757576E-3</v>
      </c>
      <c r="X15" s="343">
        <f t="shared" si="4"/>
        <v>1.1454545454545456E-3</v>
      </c>
      <c r="Y15" s="363">
        <f t="shared" si="4"/>
        <v>7.575757575757576E-3</v>
      </c>
      <c r="Z15" s="343">
        <f t="shared" si="4"/>
        <v>1.1454545454545456E-3</v>
      </c>
      <c r="AA15" s="363">
        <f t="shared" si="4"/>
        <v>7.575757575757576E-3</v>
      </c>
      <c r="AB15" s="343">
        <f t="shared" si="4"/>
        <v>1.1454545454545456E-3</v>
      </c>
      <c r="AC15" s="363">
        <f t="shared" si="4"/>
        <v>7.575757575757576E-3</v>
      </c>
      <c r="AD15" s="343">
        <f t="shared" si="4"/>
        <v>1.1454545454545456E-3</v>
      </c>
      <c r="AE15" s="343"/>
      <c r="AF15" s="343"/>
      <c r="AG15" s="344"/>
      <c r="AH15" s="344"/>
      <c r="AI15" s="342"/>
      <c r="AJ15" s="265"/>
      <c r="AK15" s="345"/>
      <c r="AL15" s="344"/>
      <c r="AM15" s="344"/>
      <c r="AN15" s="344"/>
      <c r="AO15" s="351">
        <f t="shared" si="0"/>
        <v>3.787878787878788E-2</v>
      </c>
      <c r="AP15" s="351">
        <f t="shared" si="1"/>
        <v>5.7272727272727284E-3</v>
      </c>
    </row>
    <row r="16" spans="1:42" s="341" customFormat="1">
      <c r="A16" s="340" t="s">
        <v>264</v>
      </c>
      <c r="B16" s="74" t="s">
        <v>47</v>
      </c>
      <c r="C16" s="345"/>
      <c r="D16" s="344"/>
      <c r="E16" s="344"/>
      <c r="F16" s="327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2">
        <f>Lahustid!J50</f>
        <v>2.5252525252525252E-2</v>
      </c>
      <c r="V16" s="343">
        <f>Lahustid!K50</f>
        <v>3.8181818181818191E-3</v>
      </c>
      <c r="W16" s="363">
        <f t="shared" ref="W16:W18" si="5">U16</f>
        <v>2.5252525252525252E-2</v>
      </c>
      <c r="X16" s="343">
        <f t="shared" ref="X16:X18" si="6">V16</f>
        <v>3.8181818181818191E-3</v>
      </c>
      <c r="Y16" s="363">
        <f t="shared" ref="Y16:Y19" si="7">W16</f>
        <v>2.5252525252525252E-2</v>
      </c>
      <c r="Z16" s="343">
        <f t="shared" ref="Z16:Z19" si="8">X16</f>
        <v>3.8181818181818191E-3</v>
      </c>
      <c r="AA16" s="363">
        <f t="shared" ref="AA16:AA19" si="9">Y16</f>
        <v>2.5252525252525252E-2</v>
      </c>
      <c r="AB16" s="343">
        <f t="shared" ref="AB16:AB19" si="10">Z16</f>
        <v>3.8181818181818191E-3</v>
      </c>
      <c r="AC16" s="363">
        <f t="shared" ref="AC16:AC19" si="11">AA16</f>
        <v>2.5252525252525252E-2</v>
      </c>
      <c r="AD16" s="343">
        <f t="shared" ref="AD16:AD19" si="12">AB16</f>
        <v>3.8181818181818191E-3</v>
      </c>
      <c r="AE16" s="343"/>
      <c r="AF16" s="343"/>
      <c r="AG16" s="344"/>
      <c r="AH16" s="344"/>
      <c r="AI16" s="342"/>
      <c r="AJ16" s="265"/>
      <c r="AK16" s="345"/>
      <c r="AL16" s="344"/>
      <c r="AM16" s="344"/>
      <c r="AN16" s="344"/>
      <c r="AO16" s="351">
        <f t="shared" si="0"/>
        <v>0.12626262626262627</v>
      </c>
      <c r="AP16" s="351">
        <f t="shared" si="1"/>
        <v>1.9090909090909096E-2</v>
      </c>
    </row>
    <row r="17" spans="1:42" s="341" customFormat="1">
      <c r="A17" s="340" t="s">
        <v>270</v>
      </c>
      <c r="B17" s="74" t="s">
        <v>48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2">
        <f>Lahustid!J51</f>
        <v>5.0505050505050518E-3</v>
      </c>
      <c r="V17" s="343">
        <f>Lahustid!K51</f>
        <v>1.2981818181818181E-3</v>
      </c>
      <c r="W17" s="363">
        <f t="shared" si="5"/>
        <v>5.0505050505050518E-3</v>
      </c>
      <c r="X17" s="343">
        <f t="shared" si="6"/>
        <v>1.2981818181818181E-3</v>
      </c>
      <c r="Y17" s="363">
        <f t="shared" si="7"/>
        <v>5.0505050505050518E-3</v>
      </c>
      <c r="Z17" s="343">
        <f t="shared" si="8"/>
        <v>1.2981818181818181E-3</v>
      </c>
      <c r="AA17" s="363">
        <f t="shared" si="9"/>
        <v>5.0505050505050518E-3</v>
      </c>
      <c r="AB17" s="343">
        <f t="shared" si="10"/>
        <v>1.2981818181818181E-3</v>
      </c>
      <c r="AC17" s="363">
        <f t="shared" si="11"/>
        <v>5.0505050505050518E-3</v>
      </c>
      <c r="AD17" s="343">
        <f t="shared" si="12"/>
        <v>1.2981818181818181E-3</v>
      </c>
      <c r="AE17" s="343"/>
      <c r="AF17" s="343"/>
      <c r="AG17" s="344"/>
      <c r="AH17" s="344"/>
      <c r="AI17" s="344"/>
      <c r="AJ17" s="344"/>
      <c r="AK17" s="344"/>
      <c r="AL17" s="344"/>
      <c r="AM17" s="344"/>
      <c r="AN17" s="344"/>
      <c r="AO17" s="351">
        <f t="shared" si="0"/>
        <v>2.5252525252525259E-2</v>
      </c>
      <c r="AP17" s="351">
        <f t="shared" si="1"/>
        <v>6.4909090909090906E-3</v>
      </c>
    </row>
    <row r="18" spans="1:42" s="341" customFormat="1">
      <c r="A18" s="340" t="s">
        <v>266</v>
      </c>
      <c r="B18" s="250" t="s">
        <v>7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2">
        <f>Lahustid!J52</f>
        <v>5.8080808080808087E-2</v>
      </c>
      <c r="V18" s="343">
        <f>Lahustid!K52</f>
        <v>1.6181818181818183E-2</v>
      </c>
      <c r="W18" s="363">
        <f t="shared" si="5"/>
        <v>5.8080808080808087E-2</v>
      </c>
      <c r="X18" s="343">
        <f t="shared" si="6"/>
        <v>1.6181818181818183E-2</v>
      </c>
      <c r="Y18" s="363">
        <f t="shared" si="7"/>
        <v>5.8080808080808087E-2</v>
      </c>
      <c r="Z18" s="343">
        <f t="shared" si="8"/>
        <v>1.6181818181818183E-2</v>
      </c>
      <c r="AA18" s="363">
        <f t="shared" si="9"/>
        <v>5.8080808080808087E-2</v>
      </c>
      <c r="AB18" s="343">
        <f t="shared" si="10"/>
        <v>1.6181818181818183E-2</v>
      </c>
      <c r="AC18" s="363">
        <f t="shared" si="11"/>
        <v>5.8080808080808087E-2</v>
      </c>
      <c r="AD18" s="343">
        <f t="shared" si="12"/>
        <v>1.6181818181818183E-2</v>
      </c>
      <c r="AE18" s="343"/>
      <c r="AF18" s="343"/>
      <c r="AG18" s="344"/>
      <c r="AH18" s="344"/>
      <c r="AI18" s="344"/>
      <c r="AJ18" s="344"/>
      <c r="AK18" s="344"/>
      <c r="AL18" s="344"/>
      <c r="AM18" s="344"/>
      <c r="AN18" s="344"/>
      <c r="AO18" s="351">
        <f t="shared" si="0"/>
        <v>0.29040404040404044</v>
      </c>
      <c r="AP18" s="351">
        <f t="shared" si="1"/>
        <v>8.0909090909090917E-2</v>
      </c>
    </row>
    <row r="19" spans="1:42">
      <c r="A19" s="335" t="s">
        <v>320</v>
      </c>
      <c r="B19" s="250" t="s">
        <v>292</v>
      </c>
      <c r="C19" s="1"/>
      <c r="D19" s="1"/>
      <c r="E19" s="272">
        <f>'Parafiini laadimine mahutitesse'!N5+'Parafiini hoiustamine'!AA27</f>
        <v>1.7525739333132447E-2</v>
      </c>
      <c r="F19" s="269">
        <f>'Parafiini laadimine mahutitesse'!O5+'Parafiini hoiustamine'!AB27</f>
        <v>1.6053605469139715E-2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42">
        <f>Lahustid!J55</f>
        <v>2.5252525252525252E-2</v>
      </c>
      <c r="V19" s="343">
        <f>Lahustid!K55</f>
        <v>3.8181818181818191E-3</v>
      </c>
      <c r="W19" s="272">
        <f>U19</f>
        <v>2.5252525252525252E-2</v>
      </c>
      <c r="X19" s="269">
        <f>V19</f>
        <v>3.8181818181818191E-3</v>
      </c>
      <c r="Y19" s="272">
        <f t="shared" si="7"/>
        <v>2.5252525252525252E-2</v>
      </c>
      <c r="Z19" s="269">
        <f t="shared" si="8"/>
        <v>3.8181818181818191E-3</v>
      </c>
      <c r="AA19" s="272">
        <f t="shared" si="9"/>
        <v>2.5252525252525252E-2</v>
      </c>
      <c r="AB19" s="269">
        <f t="shared" si="10"/>
        <v>3.8181818181818191E-3</v>
      </c>
      <c r="AC19" s="272">
        <f t="shared" si="11"/>
        <v>2.5252525252525252E-2</v>
      </c>
      <c r="AD19" s="269">
        <f t="shared" si="12"/>
        <v>3.8181818181818191E-3</v>
      </c>
      <c r="AE19" s="269"/>
      <c r="AF19" s="269"/>
      <c r="AG19" s="1"/>
      <c r="AH19" s="1"/>
      <c r="AI19" s="1"/>
      <c r="AJ19" s="1"/>
      <c r="AK19" s="1"/>
      <c r="AL19" s="1"/>
      <c r="AM19" s="1"/>
      <c r="AN19" s="1"/>
      <c r="AO19" s="351">
        <f t="shared" si="0"/>
        <v>0.14378836559575869</v>
      </c>
      <c r="AP19" s="351">
        <f t="shared" si="1"/>
        <v>3.5144514560048808E-2</v>
      </c>
    </row>
  </sheetData>
  <mergeCells count="20"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O2:AP2"/>
    <mergeCell ref="AA2:AB2"/>
    <mergeCell ref="AC2:AD2"/>
    <mergeCell ref="AG2:AH2"/>
    <mergeCell ref="AI2:AJ2"/>
    <mergeCell ref="AK2:AL2"/>
    <mergeCell ref="AM2:AN2"/>
    <mergeCell ref="AE2:A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C32" sqref="C32"/>
    </sheetView>
  </sheetViews>
  <sheetFormatPr defaultRowHeight="13.8"/>
  <cols>
    <col min="1" max="1" width="7.21875" style="57" customWidth="1"/>
    <col min="2" max="2" width="30.6640625" style="57" customWidth="1"/>
    <col min="3" max="3" width="53.88671875" style="57" customWidth="1"/>
    <col min="4" max="4" width="14.5546875" style="57" customWidth="1"/>
    <col min="5" max="5" width="8.88671875" style="57"/>
    <col min="6" max="6" width="11.33203125" style="57" customWidth="1"/>
    <col min="7" max="7" width="14.33203125" style="57" customWidth="1"/>
    <col min="8" max="8" width="19.109375" style="57" customWidth="1"/>
    <col min="9" max="9" width="32.6640625" style="57" customWidth="1"/>
    <col min="10" max="16384" width="8.88671875" style="57"/>
  </cols>
  <sheetData>
    <row r="1" spans="1:4">
      <c r="A1" s="205">
        <v>1</v>
      </c>
      <c r="B1" s="206" t="s">
        <v>188</v>
      </c>
      <c r="C1" s="207" t="s">
        <v>190</v>
      </c>
      <c r="D1" s="207" t="s">
        <v>191</v>
      </c>
    </row>
    <row r="2" spans="1:4">
      <c r="A2" s="205">
        <v>2</v>
      </c>
      <c r="B2" s="206" t="s">
        <v>189</v>
      </c>
      <c r="C2" s="207" t="s">
        <v>192</v>
      </c>
      <c r="D2" s="207" t="s">
        <v>193</v>
      </c>
    </row>
    <row r="3" spans="1:4">
      <c r="A3" s="205">
        <v>3</v>
      </c>
      <c r="B3" s="206" t="s">
        <v>194</v>
      </c>
      <c r="C3" s="207" t="s">
        <v>195</v>
      </c>
      <c r="D3" s="207" t="s">
        <v>44</v>
      </c>
    </row>
    <row r="4" spans="1:4">
      <c r="A4" s="205">
        <v>4</v>
      </c>
      <c r="B4" s="206" t="s">
        <v>196</v>
      </c>
      <c r="C4" s="207" t="s">
        <v>197</v>
      </c>
      <c r="D4" s="207" t="s">
        <v>198</v>
      </c>
    </row>
    <row r="5" spans="1:4">
      <c r="A5" s="205">
        <v>5</v>
      </c>
      <c r="B5" s="206" t="s">
        <v>199</v>
      </c>
      <c r="C5" s="207" t="s">
        <v>200</v>
      </c>
      <c r="D5" s="207" t="s">
        <v>201</v>
      </c>
    </row>
    <row r="6" spans="1:4">
      <c r="A6" s="205">
        <v>6</v>
      </c>
      <c r="B6" s="206" t="s">
        <v>202</v>
      </c>
      <c r="C6" s="207" t="s">
        <v>203</v>
      </c>
      <c r="D6" s="207" t="s">
        <v>204</v>
      </c>
    </row>
    <row r="7" spans="1:4">
      <c r="A7" s="205">
        <v>7</v>
      </c>
      <c r="B7" s="206" t="s">
        <v>205</v>
      </c>
      <c r="C7" s="207" t="s">
        <v>206</v>
      </c>
      <c r="D7" s="207" t="s">
        <v>207</v>
      </c>
    </row>
    <row r="8" spans="1:4">
      <c r="A8" s="205">
        <v>8</v>
      </c>
      <c r="B8" s="206" t="s">
        <v>208</v>
      </c>
      <c r="C8" s="207" t="s">
        <v>209</v>
      </c>
      <c r="D8" s="207" t="s">
        <v>210</v>
      </c>
    </row>
    <row r="9" spans="1:4">
      <c r="A9" s="205">
        <v>9</v>
      </c>
      <c r="B9" s="206" t="s">
        <v>211</v>
      </c>
      <c r="C9" s="207" t="s">
        <v>212</v>
      </c>
      <c r="D9" s="207" t="s">
        <v>213</v>
      </c>
    </row>
    <row r="10" spans="1:4">
      <c r="A10" s="205">
        <v>10</v>
      </c>
      <c r="B10" s="206" t="s">
        <v>214</v>
      </c>
      <c r="C10" s="207" t="s">
        <v>215</v>
      </c>
      <c r="D10" s="207" t="s">
        <v>216</v>
      </c>
    </row>
    <row r="11" spans="1:4">
      <c r="A11" s="205">
        <v>11</v>
      </c>
      <c r="B11" s="206" t="s">
        <v>217</v>
      </c>
      <c r="C11" s="207" t="s">
        <v>218</v>
      </c>
      <c r="D11" s="207" t="s">
        <v>219</v>
      </c>
    </row>
    <row r="12" spans="1:4">
      <c r="A12" s="205">
        <v>12</v>
      </c>
      <c r="B12" s="206" t="s">
        <v>220</v>
      </c>
      <c r="C12" s="207" t="s">
        <v>221</v>
      </c>
      <c r="D12" s="207" t="s">
        <v>222</v>
      </c>
    </row>
    <row r="13" spans="1:4">
      <c r="A13" s="205">
        <v>13</v>
      </c>
      <c r="B13" s="206" t="s">
        <v>223</v>
      </c>
      <c r="C13" s="207" t="s">
        <v>224</v>
      </c>
      <c r="D13" s="207" t="s">
        <v>225</v>
      </c>
    </row>
    <row r="14" spans="1:4">
      <c r="A14" s="205">
        <v>14</v>
      </c>
      <c r="B14" s="206" t="s">
        <v>226</v>
      </c>
      <c r="C14" s="207" t="s">
        <v>227</v>
      </c>
      <c r="D14" s="207" t="s">
        <v>228</v>
      </c>
    </row>
    <row r="15" spans="1:4">
      <c r="A15" s="205">
        <v>15</v>
      </c>
      <c r="B15" s="206" t="s">
        <v>229</v>
      </c>
      <c r="C15" s="207" t="s">
        <v>230</v>
      </c>
      <c r="D15" s="207" t="s">
        <v>231</v>
      </c>
    </row>
    <row r="16" spans="1:4">
      <c r="A16" s="205">
        <v>16</v>
      </c>
      <c r="B16" s="206" t="s">
        <v>232</v>
      </c>
      <c r="C16" s="207" t="s">
        <v>233</v>
      </c>
      <c r="D16" s="207" t="s">
        <v>71</v>
      </c>
    </row>
    <row r="17" spans="1:9">
      <c r="A17" s="205">
        <v>17</v>
      </c>
      <c r="B17" s="206" t="s">
        <v>234</v>
      </c>
      <c r="C17" s="207" t="s">
        <v>235</v>
      </c>
      <c r="D17" s="207" t="s">
        <v>236</v>
      </c>
    </row>
    <row r="18" spans="1:9">
      <c r="A18" s="205">
        <v>18</v>
      </c>
      <c r="B18" s="206" t="s">
        <v>237</v>
      </c>
      <c r="C18" s="207" t="s">
        <v>238</v>
      </c>
      <c r="D18" s="207" t="s">
        <v>239</v>
      </c>
    </row>
    <row r="19" spans="1:9">
      <c r="A19" s="205">
        <v>19</v>
      </c>
      <c r="B19" s="206" t="s">
        <v>240</v>
      </c>
      <c r="C19" s="207" t="s">
        <v>241</v>
      </c>
      <c r="D19" s="207" t="s">
        <v>242</v>
      </c>
    </row>
    <row r="20" spans="1:9">
      <c r="B20" s="208">
        <v>1</v>
      </c>
      <c r="C20" s="209"/>
      <c r="D20" s="209"/>
    </row>
    <row r="22" spans="1:9">
      <c r="A22" s="59"/>
      <c r="B22" s="59"/>
      <c r="C22" s="59"/>
      <c r="D22" s="59"/>
      <c r="E22" s="59"/>
      <c r="F22" s="59"/>
      <c r="G22" s="59"/>
      <c r="H22" s="59"/>
      <c r="I22" s="59"/>
    </row>
    <row r="23" spans="1:9">
      <c r="A23" s="59"/>
      <c r="B23" s="59"/>
      <c r="C23" s="59"/>
      <c r="D23" s="59"/>
      <c r="E23" s="59"/>
      <c r="F23" s="59"/>
      <c r="G23" s="59"/>
      <c r="H23" s="59"/>
      <c r="I23" s="59"/>
    </row>
    <row r="24" spans="1:9" ht="14.4">
      <c r="A24" s="59"/>
      <c r="B24" s="440"/>
      <c r="C24" s="106"/>
      <c r="D24" s="441"/>
      <c r="E24" s="442"/>
      <c r="F24" s="442"/>
      <c r="G24" s="442"/>
      <c r="H24" s="106"/>
      <c r="I24" s="106"/>
    </row>
    <row r="25" spans="1:9" ht="14.4">
      <c r="A25" s="59"/>
      <c r="B25" s="442"/>
      <c r="C25" s="443"/>
      <c r="D25" s="442"/>
      <c r="E25" s="442"/>
      <c r="F25" s="442"/>
      <c r="G25" s="442"/>
      <c r="H25" s="442"/>
      <c r="I25" s="76"/>
    </row>
    <row r="26" spans="1:9" ht="14.4">
      <c r="A26" s="59"/>
      <c r="B26" s="442"/>
      <c r="C26" s="442"/>
      <c r="D26" s="442"/>
      <c r="E26" s="442"/>
      <c r="F26" s="442"/>
      <c r="G26" s="442"/>
      <c r="H26" s="442"/>
      <c r="I26" s="442"/>
    </row>
    <row r="27" spans="1:9" ht="14.4">
      <c r="A27" s="59"/>
      <c r="B27" s="442"/>
      <c r="C27" s="442"/>
      <c r="D27" s="442"/>
      <c r="E27" s="442"/>
      <c r="F27" s="442"/>
      <c r="G27" s="442"/>
      <c r="H27" s="442"/>
      <c r="I27" s="442"/>
    </row>
    <row r="28" spans="1:9" ht="14.4">
      <c r="A28" s="59"/>
      <c r="B28" s="442"/>
      <c r="C28" s="442"/>
      <c r="D28" s="442"/>
      <c r="E28" s="442"/>
      <c r="F28" s="442"/>
      <c r="G28" s="442"/>
      <c r="H28" s="442"/>
      <c r="I28" s="442"/>
    </row>
    <row r="29" spans="1:9" ht="14.4">
      <c r="A29" s="59"/>
      <c r="B29" s="442"/>
      <c r="C29" s="442"/>
      <c r="D29" s="442"/>
      <c r="E29" s="442"/>
      <c r="F29" s="442"/>
      <c r="G29" s="442"/>
      <c r="H29" s="442"/>
      <c r="I29" s="442"/>
    </row>
    <row r="30" spans="1:9">
      <c r="A30" s="59"/>
      <c r="B30" s="59"/>
      <c r="C30" s="58"/>
      <c r="D30" s="58"/>
      <c r="E30" s="59"/>
      <c r="F30" s="58"/>
      <c r="G30" s="59"/>
      <c r="H30" s="59"/>
      <c r="I30" s="59"/>
    </row>
    <row r="31" spans="1:9">
      <c r="A31" s="59"/>
      <c r="B31" s="59"/>
      <c r="C31" s="59"/>
      <c r="D31" s="59"/>
      <c r="E31" s="59"/>
      <c r="F31" s="59"/>
      <c r="G31" s="59"/>
      <c r="H31" s="59"/>
      <c r="I31" s="59"/>
    </row>
    <row r="32" spans="1:9">
      <c r="A32" s="59"/>
      <c r="B32" s="59"/>
      <c r="C32" s="59"/>
      <c r="D32" s="59"/>
      <c r="E32" s="59"/>
      <c r="F32" s="59"/>
      <c r="G32" s="59"/>
      <c r="H32" s="59"/>
      <c r="I32" s="59"/>
    </row>
    <row r="33" spans="1:9">
      <c r="A33" s="59"/>
      <c r="B33" s="59"/>
      <c r="C33" s="59"/>
      <c r="D33" s="59"/>
      <c r="E33" s="59"/>
      <c r="F33" s="59"/>
      <c r="G33" s="59"/>
      <c r="H33" s="59"/>
      <c r="I33" s="59"/>
    </row>
    <row r="34" spans="1:9">
      <c r="A34" s="59"/>
      <c r="B34" s="59"/>
      <c r="C34" s="59"/>
      <c r="D34" s="59"/>
      <c r="E34" s="59"/>
      <c r="F34" s="59"/>
      <c r="G34" s="59"/>
      <c r="H34" s="59"/>
      <c r="I34" s="59"/>
    </row>
    <row r="35" spans="1:9">
      <c r="A35" s="59"/>
      <c r="B35" s="59"/>
      <c r="C35" s="59"/>
      <c r="D35" s="59"/>
      <c r="E35" s="59"/>
      <c r="F35" s="59"/>
      <c r="G35" s="59"/>
      <c r="H35" s="59"/>
      <c r="I35" s="59"/>
    </row>
    <row r="36" spans="1:9">
      <c r="A36" s="59"/>
      <c r="B36" s="59"/>
      <c r="C36" s="59"/>
      <c r="D36" s="59"/>
      <c r="E36" s="59"/>
      <c r="F36" s="59"/>
      <c r="G36" s="59"/>
      <c r="H36" s="59"/>
      <c r="I36" s="59"/>
    </row>
    <row r="37" spans="1:9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4.4">
      <c r="A38" s="59"/>
      <c r="B38" s="442"/>
      <c r="C38" s="442"/>
      <c r="D38" s="442"/>
      <c r="E38" s="442"/>
      <c r="F38" s="442"/>
      <c r="G38" s="442"/>
      <c r="H38" s="442"/>
      <c r="I38" s="444"/>
    </row>
    <row r="39" spans="1:9">
      <c r="A39" s="59"/>
      <c r="B39" s="59"/>
      <c r="C39" s="59"/>
      <c r="D39" s="59"/>
      <c r="E39" s="59"/>
      <c r="F39" s="59"/>
      <c r="G39" s="59"/>
      <c r="H39" s="59"/>
      <c r="I39" s="59"/>
    </row>
  </sheetData>
  <hyperlinks>
    <hyperlink ref="B1" r:id="rId1" display="https://kotkas.envir.ee/registry_emission_source/emission_source_view?represented_id=459278&amp;registry_code=HEIT0001001&amp;cft=5d8ef182"/>
    <hyperlink ref="B2" r:id="rId2" display="https://kotkas.envir.ee/registry_emission_source/emission_source_view?represented_id=459278&amp;registry_code=HEIT0008466&amp;cft=5d8ef182"/>
    <hyperlink ref="B3" r:id="rId3" display="https://kotkas.envir.ee/registry_emission_source/emission_source_view?represented_id=459278&amp;registry_code=HEIT0001002&amp;cft=5d8ef182"/>
    <hyperlink ref="B4" r:id="rId4" display="https://kotkas.envir.ee/registry_emission_source/emission_source_view?represented_id=459278&amp;registry_code=HEIT0008467&amp;cft=5d8ef182"/>
    <hyperlink ref="B5" r:id="rId5" display="https://kotkas.envir.ee/registry_emission_source/emission_source_view?represented_id=459278&amp;registry_code=HEIT0008468&amp;cft=5d8ef182"/>
    <hyperlink ref="B6" r:id="rId6" display="https://kotkas.envir.ee/registry_emission_source/emission_source_view?represented_id=459278&amp;registry_code=HEIT0008469&amp;cft=5d8ef182"/>
    <hyperlink ref="B7" r:id="rId7" display="https://kotkas.envir.ee/registry_emission_source/emission_source_view?represented_id=459278&amp;registry_code=HEIT0008470&amp;cft=5d8ef182"/>
    <hyperlink ref="B8" r:id="rId8" display="https://kotkas.envir.ee/registry_emission_source/emission_source_view?represented_id=459278&amp;registry_code=HEIT0008461&amp;cft=5d8ef182"/>
    <hyperlink ref="B9" r:id="rId9" display="https://kotkas.envir.ee/registry_emission_source/emission_source_view?represented_id=459278&amp;registry_code=HEIT0008464&amp;cft=5d8ef182"/>
    <hyperlink ref="B10" r:id="rId10" display="https://kotkas.envir.ee/registry_emission_source/emission_source_view?represented_id=459278&amp;registry_code=HEIT0008465&amp;cft=5d8ef182"/>
    <hyperlink ref="B11" r:id="rId11" display="https://kotkas.envir.ee/registry_emission_source/emission_source_view?represented_id=459278&amp;registry_code=HEIT0008462&amp;cft=5d8ef182"/>
    <hyperlink ref="B12" r:id="rId12" display="https://kotkas.envir.ee/registry_emission_source/emission_source_view?represented_id=459278&amp;registry_code=HEIT0008463&amp;cft=5d8ef182"/>
    <hyperlink ref="B13" r:id="rId13" display="https://kotkas.envir.ee/registry_emission_source/emission_source_view?represented_id=459278&amp;registry_code=HEIT0008460&amp;cft=5d8ef182"/>
    <hyperlink ref="B14" r:id="rId14" display="https://kotkas.envir.ee/registry_emission_source/emission_source_view?represented_id=459278&amp;registry_code=HEIT0008459&amp;cft=5d8ef182"/>
    <hyperlink ref="B15" r:id="rId15" display="https://kotkas.envir.ee/registry_emission_source/emission_source_view?represented_id=459278&amp;registry_code=HEIT0008448&amp;cft=5d8ef182"/>
    <hyperlink ref="B16" r:id="rId16" display="https://kotkas.envir.ee/registry_emission_source/emission_source_view?represented_id=459278&amp;registry_code=HEIT0001003&amp;cft=5d8ef182"/>
    <hyperlink ref="B17" r:id="rId17" display="https://kotkas.envir.ee/registry_emission_source/emission_source_view?represented_id=459278&amp;registry_code=HEIT0008445&amp;cft=5d8ef182"/>
    <hyperlink ref="B18" r:id="rId18" display="https://kotkas.envir.ee/registry_emission_source/emission_source_view?represented_id=459278&amp;registry_code=HEIT0008446&amp;cft=5d8ef182"/>
    <hyperlink ref="B19" r:id="rId19" display="https://kotkas.envir.ee/registry_emission_source/emission_source_view?represented_id=459278&amp;registry_code=HEIT0008447&amp;cft=5d8ef182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4"/>
  <sheetViews>
    <sheetView workbookViewId="0">
      <selection activeCell="B43" sqref="B43"/>
    </sheetView>
  </sheetViews>
  <sheetFormatPr defaultRowHeight="14.4"/>
  <cols>
    <col min="2" max="2" width="30.33203125" customWidth="1"/>
    <col min="3" max="5" width="16.44140625" customWidth="1"/>
    <col min="12" max="12" width="9.5546875" bestFit="1" customWidth="1"/>
  </cols>
  <sheetData>
    <row r="4" spans="1:10">
      <c r="C4" t="s">
        <v>8</v>
      </c>
    </row>
    <row r="5" spans="1:10">
      <c r="A5" s="1">
        <v>1</v>
      </c>
      <c r="B5" s="1" t="s">
        <v>0</v>
      </c>
      <c r="C5" s="109">
        <f>Deklaratsioon!C6</f>
        <v>4000</v>
      </c>
      <c r="E5">
        <v>4000</v>
      </c>
    </row>
    <row r="6" spans="1:10">
      <c r="A6" s="1">
        <v>2</v>
      </c>
      <c r="B6" s="1" t="s">
        <v>1</v>
      </c>
      <c r="C6" s="109">
        <f>Deklaratsioon!C7</f>
        <v>50</v>
      </c>
      <c r="E6">
        <v>50</v>
      </c>
    </row>
    <row r="7" spans="1:10">
      <c r="A7" s="1">
        <v>3</v>
      </c>
      <c r="B7" s="1" t="s">
        <v>2</v>
      </c>
      <c r="C7" s="109">
        <f>Deklaratsioon!C8</f>
        <v>4950.5</v>
      </c>
      <c r="E7">
        <v>4950.5</v>
      </c>
    </row>
    <row r="8" spans="1:10">
      <c r="A8" s="1">
        <v>4</v>
      </c>
      <c r="B8" s="1" t="s">
        <v>3</v>
      </c>
      <c r="C8" s="109">
        <f>Deklaratsioon!C9</f>
        <v>15</v>
      </c>
      <c r="E8">
        <v>15</v>
      </c>
    </row>
    <row r="9" spans="1:10">
      <c r="A9" s="1">
        <v>5</v>
      </c>
      <c r="B9" s="1" t="s">
        <v>4</v>
      </c>
      <c r="C9" s="109">
        <f>Deklaratsioon!C10</f>
        <v>15</v>
      </c>
      <c r="E9">
        <v>15</v>
      </c>
    </row>
    <row r="10" spans="1:10">
      <c r="A10" s="1">
        <v>6</v>
      </c>
      <c r="B10" s="1" t="s">
        <v>5</v>
      </c>
      <c r="C10" s="109">
        <f>Deklaratsioon!C11</f>
        <v>100</v>
      </c>
      <c r="E10">
        <v>100</v>
      </c>
    </row>
    <row r="11" spans="1:10">
      <c r="A11" s="1">
        <v>7</v>
      </c>
      <c r="B11" s="1" t="s">
        <v>6</v>
      </c>
      <c r="C11" s="109">
        <f>Deklaratsioon!C12</f>
        <v>200</v>
      </c>
      <c r="E11">
        <v>200</v>
      </c>
    </row>
    <row r="12" spans="1:10">
      <c r="A12" s="1">
        <v>8</v>
      </c>
      <c r="B12" s="1" t="s">
        <v>7</v>
      </c>
      <c r="C12" s="109">
        <f>Deklaratsioon!C13</f>
        <v>100</v>
      </c>
      <c r="E12">
        <v>100</v>
      </c>
    </row>
    <row r="13" spans="1:10">
      <c r="C13" s="109">
        <f>Deklaratsioon!C14</f>
        <v>0</v>
      </c>
    </row>
    <row r="14" spans="1:10">
      <c r="A14" s="1">
        <v>9</v>
      </c>
      <c r="B14" s="1" t="s">
        <v>9</v>
      </c>
      <c r="C14" s="109">
        <f>Deklaratsioon!C15</f>
        <v>1500</v>
      </c>
      <c r="D14" t="s">
        <v>11</v>
      </c>
      <c r="E14">
        <v>1500</v>
      </c>
    </row>
    <row r="15" spans="1:10">
      <c r="A15" s="1">
        <v>10</v>
      </c>
      <c r="B15" s="1" t="s">
        <v>10</v>
      </c>
      <c r="C15" s="109">
        <f>Deklaratsioon!C16</f>
        <v>3043</v>
      </c>
      <c r="D15" t="s">
        <v>12</v>
      </c>
      <c r="E15">
        <v>1900</v>
      </c>
      <c r="J15" s="445"/>
    </row>
    <row r="16" spans="1:10">
      <c r="A16" s="1">
        <v>11</v>
      </c>
      <c r="B16" s="1" t="s">
        <v>87</v>
      </c>
      <c r="C16" s="109">
        <f>Deklaratsioon!C17</f>
        <v>360</v>
      </c>
      <c r="D16" t="s">
        <v>84</v>
      </c>
      <c r="E16">
        <v>360</v>
      </c>
    </row>
    <row r="17" spans="1:8">
      <c r="A17" s="1">
        <v>12</v>
      </c>
      <c r="B17" s="1" t="s">
        <v>88</v>
      </c>
      <c r="C17" s="109">
        <f>Deklaratsioon!C18</f>
        <v>5000</v>
      </c>
      <c r="D17" t="s">
        <v>12</v>
      </c>
      <c r="E17">
        <v>5000</v>
      </c>
    </row>
    <row r="18" spans="1:8">
      <c r="A18" s="1">
        <v>13</v>
      </c>
      <c r="B18" s="213" t="s">
        <v>461</v>
      </c>
      <c r="C18" s="109">
        <f>Deklaratsioon!C19</f>
        <v>365</v>
      </c>
      <c r="D18" t="s">
        <v>462</v>
      </c>
      <c r="E18">
        <v>365</v>
      </c>
    </row>
    <row r="21" spans="1:8">
      <c r="C21" s="211" t="s">
        <v>92</v>
      </c>
      <c r="D21" s="211" t="s">
        <v>246</v>
      </c>
      <c r="E21" s="211" t="s">
        <v>244</v>
      </c>
    </row>
    <row r="22" spans="1:8">
      <c r="B22" s="1" t="s">
        <v>243</v>
      </c>
      <c r="C22" s="109">
        <v>2.093</v>
      </c>
      <c r="D22" s="1">
        <v>0.9</v>
      </c>
      <c r="E22" s="210">
        <f>C22/D22</f>
        <v>2.3255555555555554</v>
      </c>
      <c r="H22" s="106"/>
    </row>
    <row r="23" spans="1:8">
      <c r="B23" s="1" t="s">
        <v>245</v>
      </c>
      <c r="C23" s="109">
        <v>2.093</v>
      </c>
      <c r="D23" s="1">
        <v>0.85</v>
      </c>
      <c r="E23" s="210">
        <f>C23/D23</f>
        <v>2.4623529411764706</v>
      </c>
      <c r="H23" s="106"/>
    </row>
    <row r="24" spans="1:8">
      <c r="E24" s="106"/>
      <c r="F24" s="106"/>
      <c r="G24" s="106"/>
      <c r="H24" s="106"/>
    </row>
  </sheetData>
  <pageMargins left="0.7" right="0.7" top="0.75" bottom="0.75" header="0.3" footer="0.3"/>
  <pageSetup paperSize="2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93" zoomScaleNormal="93" workbookViewId="0">
      <selection activeCell="D39" sqref="D39"/>
    </sheetView>
  </sheetViews>
  <sheetFormatPr defaultColWidth="9.109375" defaultRowHeight="14.4"/>
  <cols>
    <col min="1" max="1" width="9.109375" style="39" customWidth="1"/>
    <col min="2" max="2" width="15.33203125" style="39" bestFit="1" customWidth="1"/>
    <col min="3" max="3" width="31.5546875" style="18" bestFit="1" customWidth="1"/>
    <col min="4" max="10" width="12.6640625" style="18" customWidth="1"/>
    <col min="11" max="11" width="9" style="39" customWidth="1"/>
    <col min="12" max="12" width="15.88671875" style="18" customWidth="1"/>
    <col min="13" max="13" width="15.44140625" style="18" customWidth="1"/>
    <col min="14" max="14" width="13.44140625" style="18" customWidth="1"/>
    <col min="15" max="15" width="5.44140625" style="18" customWidth="1"/>
    <col min="16" max="16" width="8.109375" style="18" customWidth="1"/>
    <col min="17" max="16384" width="9.109375" style="18"/>
  </cols>
  <sheetData>
    <row r="1" spans="1:16" s="2" customFormat="1" ht="52.5" customHeight="1">
      <c r="A1" s="45" t="s">
        <v>13</v>
      </c>
      <c r="B1" s="45" t="s">
        <v>14</v>
      </c>
      <c r="C1" s="46" t="s">
        <v>27</v>
      </c>
      <c r="D1" s="47" t="s">
        <v>15</v>
      </c>
      <c r="E1" s="46" t="s">
        <v>16</v>
      </c>
      <c r="F1" s="46" t="s">
        <v>17</v>
      </c>
      <c r="G1" s="46" t="s">
        <v>18</v>
      </c>
      <c r="H1" s="47" t="s">
        <v>19</v>
      </c>
      <c r="I1" s="46" t="s">
        <v>20</v>
      </c>
      <c r="J1" s="46" t="s">
        <v>21</v>
      </c>
      <c r="K1" s="46" t="s">
        <v>22</v>
      </c>
      <c r="L1" s="48" t="s">
        <v>23</v>
      </c>
      <c r="M1" s="249" t="s">
        <v>24</v>
      </c>
      <c r="N1" s="45" t="s">
        <v>25</v>
      </c>
      <c r="O1" s="3"/>
    </row>
    <row r="2" spans="1:16" s="2" customFormat="1" ht="17.25" customHeight="1">
      <c r="A2" s="49"/>
      <c r="B2" s="50"/>
      <c r="C2" s="51"/>
      <c r="D2" s="47"/>
      <c r="E2" s="46"/>
      <c r="F2" s="46"/>
      <c r="G2" s="52"/>
      <c r="H2" s="47"/>
      <c r="I2" s="53"/>
      <c r="J2" s="46"/>
      <c r="K2" s="46"/>
      <c r="L2" s="46"/>
      <c r="M2" s="54"/>
      <c r="N2" s="55"/>
      <c r="O2" s="3"/>
    </row>
    <row r="3" spans="1:16">
      <c r="A3" s="4">
        <v>1</v>
      </c>
      <c r="B3" s="5"/>
      <c r="C3" s="6" t="str">
        <f>Kogused!B5</f>
        <v>White Spirit</v>
      </c>
      <c r="D3" s="7">
        <f>Kogused!C5</f>
        <v>4000</v>
      </c>
      <c r="E3" s="8">
        <f>D3*F3</f>
        <v>3028</v>
      </c>
      <c r="F3" s="9">
        <v>0.75700000000000001</v>
      </c>
      <c r="G3" s="10">
        <f>E3/1000</f>
        <v>3.028</v>
      </c>
      <c r="H3" s="9">
        <v>100</v>
      </c>
      <c r="I3" s="11"/>
      <c r="J3" s="12">
        <f t="shared" ref="J3:J10" si="0">G3*H3/100</f>
        <v>3.028</v>
      </c>
      <c r="K3" s="13"/>
      <c r="L3" s="14">
        <f>E3/$N$3</f>
        <v>605.6</v>
      </c>
      <c r="M3" s="15">
        <f>J3*1000*1000/(3600*L3)</f>
        <v>1.3888888888888888</v>
      </c>
      <c r="N3" s="22">
        <v>5</v>
      </c>
      <c r="O3" s="17"/>
    </row>
    <row r="4" spans="1:16">
      <c r="A4" s="4">
        <v>2</v>
      </c>
      <c r="B4" s="5"/>
      <c r="C4" s="6" t="str">
        <f>Kogused!B6</f>
        <v>Nitrolahusti 646</v>
      </c>
      <c r="D4" s="7">
        <f>Kogused!C6</f>
        <v>50</v>
      </c>
      <c r="E4" s="8">
        <f>D4*F4</f>
        <v>42</v>
      </c>
      <c r="F4" s="9">
        <v>0.84</v>
      </c>
      <c r="G4" s="10">
        <f t="shared" ref="G4:G10" si="1">E4/1000</f>
        <v>4.2000000000000003E-2</v>
      </c>
      <c r="H4" s="9">
        <v>100</v>
      </c>
      <c r="I4" s="11"/>
      <c r="J4" s="12">
        <f t="shared" si="0"/>
        <v>4.2000000000000003E-2</v>
      </c>
      <c r="K4" s="13"/>
      <c r="L4" s="14">
        <f>E4/$N$4</f>
        <v>42</v>
      </c>
      <c r="M4" s="19">
        <f t="shared" ref="M4:M10" si="2">J4*1000*1000/(3600*L4)</f>
        <v>0.27777777777777779</v>
      </c>
      <c r="N4" s="20">
        <v>1</v>
      </c>
      <c r="O4" s="17"/>
    </row>
    <row r="5" spans="1:16">
      <c r="A5" s="4">
        <v>3</v>
      </c>
      <c r="B5" s="21"/>
      <c r="C5" s="6" t="str">
        <f>Kogused!B7</f>
        <v>PENOSIL General Silicone</v>
      </c>
      <c r="D5" s="7">
        <f>Kogused!C7</f>
        <v>4950.5</v>
      </c>
      <c r="E5" s="8">
        <f>D5*F5</f>
        <v>6643.5710000000008</v>
      </c>
      <c r="F5" s="9">
        <v>1.3420000000000001</v>
      </c>
      <c r="G5" s="10">
        <f t="shared" si="1"/>
        <v>6.6435710000000006</v>
      </c>
      <c r="H5" s="9">
        <f>I5/1000/F5*100</f>
        <v>7.8241430700447104E-2</v>
      </c>
      <c r="I5" s="22">
        <v>1.05</v>
      </c>
      <c r="J5" s="12">
        <f t="shared" si="0"/>
        <v>5.1980250000000002E-3</v>
      </c>
      <c r="K5" s="13"/>
      <c r="L5" s="14">
        <f>E5/$N$5</f>
        <v>1328.7142000000001</v>
      </c>
      <c r="M5" s="19">
        <f t="shared" si="2"/>
        <v>1.0866865375062098E-3</v>
      </c>
      <c r="N5" s="23">
        <v>5</v>
      </c>
      <c r="O5" s="24"/>
      <c r="P5" s="24"/>
    </row>
    <row r="6" spans="1:16" s="24" customFormat="1">
      <c r="A6" s="4">
        <v>4</v>
      </c>
      <c r="B6" s="25"/>
      <c r="C6" s="6" t="str">
        <f>Kogused!B8</f>
        <v>Linx Solvent 1512</v>
      </c>
      <c r="D6" s="7">
        <f>Kogused!C8</f>
        <v>15</v>
      </c>
      <c r="E6" s="8">
        <f t="shared" ref="E6:E10" si="3">D6*F6</f>
        <v>12.75</v>
      </c>
      <c r="F6" s="9">
        <v>0.85</v>
      </c>
      <c r="G6" s="10">
        <f t="shared" si="1"/>
        <v>1.2749999999999999E-2</v>
      </c>
      <c r="H6" s="9">
        <v>100</v>
      </c>
      <c r="I6" s="22"/>
      <c r="J6" s="12">
        <f t="shared" si="0"/>
        <v>1.2749999999999999E-2</v>
      </c>
      <c r="K6" s="13"/>
      <c r="L6" s="14">
        <f>E6/$N$6</f>
        <v>12.75</v>
      </c>
      <c r="M6" s="19">
        <f t="shared" si="2"/>
        <v>0.27777777777777779</v>
      </c>
      <c r="N6" s="23">
        <v>1</v>
      </c>
    </row>
    <row r="7" spans="1:16">
      <c r="A7" s="4">
        <v>5</v>
      </c>
      <c r="B7" s="26"/>
      <c r="C7" s="6" t="str">
        <f>Kogused!B9</f>
        <v>AlphaJET solvent</v>
      </c>
      <c r="D7" s="7">
        <f>Kogused!C9</f>
        <v>15</v>
      </c>
      <c r="E7" s="8">
        <f t="shared" si="3"/>
        <v>12.075000000000001</v>
      </c>
      <c r="F7" s="245">
        <v>0.80500000000000005</v>
      </c>
      <c r="G7" s="10">
        <f t="shared" si="1"/>
        <v>1.2075000000000001E-2</v>
      </c>
      <c r="H7" s="9">
        <f t="shared" ref="H7:H9" si="4">I7/1000/F7*100</f>
        <v>99.378881987577643</v>
      </c>
      <c r="I7" s="22">
        <v>800</v>
      </c>
      <c r="J7" s="12">
        <f t="shared" si="0"/>
        <v>1.2000000000000002E-2</v>
      </c>
      <c r="K7" s="13"/>
      <c r="L7" s="14">
        <f>E7/$N$7</f>
        <v>12.075000000000001</v>
      </c>
      <c r="M7" s="19">
        <f t="shared" si="2"/>
        <v>0.27605244996549344</v>
      </c>
      <c r="N7" s="23">
        <v>1</v>
      </c>
      <c r="O7" s="24"/>
      <c r="P7" s="24"/>
    </row>
    <row r="8" spans="1:16">
      <c r="A8" s="4">
        <v>6</v>
      </c>
      <c r="B8" s="26"/>
      <c r="C8" s="6" t="str">
        <f>Kogused!B10</f>
        <v>Puhastusspray</v>
      </c>
      <c r="D8" s="7">
        <f>Kogused!C10</f>
        <v>100</v>
      </c>
      <c r="E8" s="8">
        <f t="shared" si="3"/>
        <v>71.399999999999991</v>
      </c>
      <c r="F8" s="245">
        <v>0.71399999999999997</v>
      </c>
      <c r="G8" s="10">
        <f t="shared" si="1"/>
        <v>7.1399999999999991E-2</v>
      </c>
      <c r="H8" s="9">
        <v>100</v>
      </c>
      <c r="I8" s="22"/>
      <c r="J8" s="12">
        <f t="shared" si="0"/>
        <v>7.1399999999999991E-2</v>
      </c>
      <c r="K8" s="13"/>
      <c r="L8" s="14">
        <f>E8/$N$8</f>
        <v>71.399999999999991</v>
      </c>
      <c r="M8" s="19">
        <f t="shared" si="2"/>
        <v>0.27777777777777773</v>
      </c>
      <c r="N8" s="23">
        <v>1</v>
      </c>
      <c r="O8" s="56"/>
      <c r="P8" s="28"/>
    </row>
    <row r="9" spans="1:16">
      <c r="A9" s="4">
        <v>7</v>
      </c>
      <c r="B9" s="26"/>
      <c r="C9" s="6" t="str">
        <f>Kogused!B11</f>
        <v>Silikoonivõie spray 500 ml</v>
      </c>
      <c r="D9" s="7">
        <f>Kogused!C11</f>
        <v>200</v>
      </c>
      <c r="E9" s="8">
        <f t="shared" si="3"/>
        <v>179</v>
      </c>
      <c r="F9" s="245">
        <v>0.89500000000000002</v>
      </c>
      <c r="G9" s="10">
        <f t="shared" si="1"/>
        <v>0.17899999999999999</v>
      </c>
      <c r="H9" s="9">
        <f t="shared" si="4"/>
        <v>74.925139664804476</v>
      </c>
      <c r="I9" s="22">
        <v>670.58</v>
      </c>
      <c r="J9" s="12">
        <f t="shared" si="0"/>
        <v>0.13411600000000001</v>
      </c>
      <c r="K9" s="13"/>
      <c r="L9" s="14">
        <f>E9/$N$9</f>
        <v>179</v>
      </c>
      <c r="M9" s="19">
        <f t="shared" si="2"/>
        <v>0.2081253879577902</v>
      </c>
      <c r="N9" s="29">
        <v>1</v>
      </c>
      <c r="O9" s="24"/>
      <c r="P9" s="28"/>
    </row>
    <row r="10" spans="1:16">
      <c r="A10" s="4">
        <v>8</v>
      </c>
      <c r="B10" s="26"/>
      <c r="C10" s="6" t="str">
        <f>Kogused!B12</f>
        <v>Atsetoon</v>
      </c>
      <c r="D10" s="7">
        <f>Kogused!C12</f>
        <v>100</v>
      </c>
      <c r="E10" s="8">
        <f t="shared" si="3"/>
        <v>79</v>
      </c>
      <c r="F10" s="9">
        <v>0.79</v>
      </c>
      <c r="G10" s="10">
        <f t="shared" si="1"/>
        <v>7.9000000000000001E-2</v>
      </c>
      <c r="H10" s="9">
        <v>100</v>
      </c>
      <c r="I10" s="22"/>
      <c r="J10" s="12">
        <f t="shared" si="0"/>
        <v>7.9000000000000001E-2</v>
      </c>
      <c r="K10" s="13"/>
      <c r="L10" s="14">
        <f>E10/$N$10</f>
        <v>79</v>
      </c>
      <c r="M10" s="15">
        <f t="shared" si="2"/>
        <v>0.27777777777777779</v>
      </c>
      <c r="N10" s="22">
        <v>1</v>
      </c>
      <c r="O10" s="24"/>
      <c r="P10" s="28"/>
    </row>
    <row r="11" spans="1:16">
      <c r="A11" s="454" t="s">
        <v>26</v>
      </c>
      <c r="B11" s="455"/>
      <c r="C11" s="30"/>
      <c r="D11" s="31">
        <f>SUM(D3:D10)</f>
        <v>9430.5</v>
      </c>
      <c r="E11" s="32">
        <f>SUM(E3:E10)</f>
        <v>10067.796</v>
      </c>
      <c r="F11" s="33"/>
      <c r="G11" s="34">
        <f>SUM(G3:G10)</f>
        <v>10.067796000000001</v>
      </c>
      <c r="H11" s="35"/>
      <c r="I11" s="35"/>
      <c r="J11" s="36">
        <f>SUM(J3:J10)</f>
        <v>3.3844640250000002</v>
      </c>
      <c r="K11" s="37"/>
      <c r="L11" s="38"/>
      <c r="M11" s="15"/>
      <c r="N11" s="16"/>
      <c r="O11" s="24"/>
      <c r="P11" s="24"/>
    </row>
    <row r="12" spans="1:16">
      <c r="D12" s="27"/>
      <c r="O12" s="40"/>
    </row>
    <row r="13" spans="1:16">
      <c r="A13" s="41"/>
      <c r="B13" s="42"/>
      <c r="C13" s="43"/>
      <c r="D13" s="43"/>
      <c r="E13" s="43"/>
      <c r="F13" s="43"/>
      <c r="G13" s="43"/>
      <c r="H13" s="43"/>
      <c r="I13" s="43"/>
      <c r="J13" s="43"/>
    </row>
    <row r="14" spans="1:16">
      <c r="A14" s="43"/>
      <c r="B14" s="42"/>
      <c r="C14" s="43"/>
      <c r="D14" s="43"/>
      <c r="E14" s="43"/>
      <c r="F14" s="456"/>
      <c r="G14" s="456"/>
      <c r="H14" s="44"/>
      <c r="I14" s="43"/>
      <c r="J14" s="43"/>
    </row>
    <row r="15" spans="1:16">
      <c r="A15" s="43"/>
      <c r="B15" s="42"/>
      <c r="C15" s="43"/>
      <c r="D15" s="43"/>
      <c r="E15" s="43"/>
      <c r="F15" s="456"/>
      <c r="G15" s="456"/>
      <c r="H15" s="44"/>
      <c r="I15" s="43"/>
      <c r="J15" s="43"/>
    </row>
    <row r="16" spans="1:16">
      <c r="A16" s="43"/>
      <c r="B16" s="42"/>
      <c r="C16" s="43"/>
      <c r="D16" s="43"/>
      <c r="E16" s="43"/>
      <c r="F16" s="456"/>
      <c r="G16" s="456"/>
      <c r="H16" s="44"/>
      <c r="I16" s="43"/>
      <c r="J16" s="43"/>
    </row>
    <row r="17" spans="1:10">
      <c r="A17" s="43"/>
      <c r="B17" s="42"/>
      <c r="C17" s="43"/>
      <c r="D17" s="43"/>
      <c r="E17" s="43"/>
      <c r="F17" s="43"/>
      <c r="G17" s="43"/>
      <c r="H17" s="43"/>
      <c r="I17" s="43"/>
      <c r="J17" s="43"/>
    </row>
    <row r="18" spans="1:10">
      <c r="A18" s="42"/>
      <c r="B18" s="42"/>
      <c r="C18" s="43"/>
      <c r="D18" s="43"/>
      <c r="E18" s="43"/>
      <c r="F18" s="43"/>
      <c r="G18" s="43"/>
      <c r="H18" s="43"/>
      <c r="I18" s="43"/>
      <c r="J18" s="43"/>
    </row>
    <row r="19" spans="1:10">
      <c r="A19" s="42"/>
      <c r="B19" s="42"/>
      <c r="C19" s="43"/>
      <c r="D19" s="43"/>
      <c r="E19" s="43"/>
      <c r="F19" s="43"/>
      <c r="G19" s="43"/>
      <c r="H19" s="43"/>
      <c r="I19" s="43"/>
      <c r="J19" s="43"/>
    </row>
    <row r="20" spans="1:10">
      <c r="A20" s="42"/>
      <c r="B20" s="42"/>
      <c r="C20" s="43"/>
      <c r="D20" s="43"/>
      <c r="E20" s="43"/>
      <c r="F20" s="43"/>
      <c r="G20" s="43"/>
      <c r="H20" s="43"/>
      <c r="I20" s="43"/>
      <c r="J20" s="43"/>
    </row>
    <row r="21" spans="1:10">
      <c r="A21" s="42"/>
      <c r="B21" s="42"/>
      <c r="C21" s="43"/>
      <c r="D21" s="43"/>
      <c r="E21" s="43"/>
      <c r="F21" s="43"/>
      <c r="G21" s="43"/>
      <c r="H21" s="43"/>
      <c r="I21" s="43"/>
      <c r="J21" s="43"/>
    </row>
    <row r="22" spans="1:10">
      <c r="A22" s="42"/>
      <c r="B22" s="42"/>
      <c r="C22" s="43"/>
      <c r="D22" s="43"/>
      <c r="E22" s="43"/>
      <c r="F22" s="43"/>
      <c r="G22" s="43"/>
      <c r="H22" s="43"/>
      <c r="I22" s="43"/>
      <c r="J22" s="43"/>
    </row>
    <row r="23" spans="1:10">
      <c r="A23" s="42"/>
      <c r="B23" s="42"/>
      <c r="C23" s="43"/>
      <c r="D23" s="43"/>
      <c r="E23" s="43"/>
      <c r="F23" s="43"/>
      <c r="G23" s="43"/>
      <c r="H23" s="43"/>
      <c r="I23" s="43"/>
      <c r="J23" s="43"/>
    </row>
    <row r="24" spans="1:10">
      <c r="A24" s="42"/>
      <c r="B24" s="42"/>
      <c r="C24" s="43"/>
      <c r="D24" s="43"/>
      <c r="E24" s="43"/>
      <c r="F24" s="43"/>
      <c r="G24" s="43"/>
      <c r="H24" s="43"/>
      <c r="I24" s="43"/>
      <c r="J24" s="43"/>
    </row>
    <row r="25" spans="1:10">
      <c r="A25" s="42"/>
      <c r="B25" s="42"/>
      <c r="C25" s="43"/>
      <c r="D25" s="43"/>
      <c r="E25" s="43"/>
      <c r="F25" s="43"/>
      <c r="G25" s="43"/>
      <c r="H25" s="43"/>
      <c r="I25" s="43"/>
      <c r="J25" s="43"/>
    </row>
    <row r="26" spans="1:10">
      <c r="A26" s="42"/>
      <c r="B26" s="42"/>
      <c r="C26" s="43"/>
      <c r="D26" s="43"/>
      <c r="E26" s="43"/>
      <c r="F26" s="43"/>
      <c r="G26" s="43"/>
      <c r="H26" s="43"/>
      <c r="I26" s="43"/>
      <c r="J26" s="43"/>
    </row>
    <row r="27" spans="1:10">
      <c r="A27" s="42"/>
      <c r="B27" s="42"/>
      <c r="C27" s="43"/>
      <c r="D27" s="43"/>
      <c r="E27" s="43"/>
      <c r="F27" s="43"/>
      <c r="G27" s="43"/>
      <c r="H27" s="43"/>
      <c r="I27" s="43"/>
      <c r="J27" s="43"/>
    </row>
  </sheetData>
  <autoFilter ref="A2:N11"/>
  <mergeCells count="4">
    <mergeCell ref="A11:B11"/>
    <mergeCell ref="F14:G14"/>
    <mergeCell ref="F15:G15"/>
    <mergeCell ref="F16:G1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9"/>
  <sheetViews>
    <sheetView zoomScale="110" zoomScaleNormal="110" workbookViewId="0">
      <pane ySplit="3" topLeftCell="A4" activePane="bottomLeft" state="frozen"/>
      <selection pane="bottomLeft" activeCell="B31" sqref="B31"/>
    </sheetView>
  </sheetViews>
  <sheetFormatPr defaultColWidth="9.109375" defaultRowHeight="13.8"/>
  <cols>
    <col min="1" max="1" width="6" style="57" customWidth="1"/>
    <col min="2" max="2" width="48.77734375" style="62" customWidth="1"/>
    <col min="3" max="3" width="11.6640625" style="57" customWidth="1"/>
    <col min="4" max="4" width="33.6640625" style="62" customWidth="1"/>
    <col min="5" max="5" width="10" style="63" customWidth="1"/>
    <col min="6" max="6" width="12.109375" style="62" customWidth="1"/>
    <col min="7" max="7" width="11.6640625" style="62" customWidth="1"/>
    <col min="8" max="8" width="9.109375" style="63" customWidth="1"/>
    <col min="9" max="9" width="17.21875" style="62" customWidth="1"/>
    <col min="10" max="10" width="14.109375" style="62" customWidth="1"/>
    <col min="11" max="11" width="14.6640625" style="57" customWidth="1"/>
    <col min="12" max="12" width="12.5546875" style="63" customWidth="1"/>
    <col min="13" max="13" width="18" style="57" customWidth="1"/>
    <col min="14" max="14" width="16.88671875" style="57" customWidth="1"/>
    <col min="15" max="15" width="12.88671875" style="57" customWidth="1"/>
    <col min="16" max="16" width="17.33203125" style="57" customWidth="1"/>
    <col min="17" max="17" width="12.109375" style="57" customWidth="1"/>
    <col min="18" max="18" width="13.33203125" style="57" customWidth="1"/>
    <col min="19" max="19" width="14.109375" style="57" bestFit="1" customWidth="1"/>
    <col min="20" max="20" width="10.5546875" style="57" bestFit="1" customWidth="1"/>
    <col min="21" max="21" width="17.33203125" style="57" customWidth="1"/>
    <col min="22" max="22" width="12" style="57" customWidth="1"/>
    <col min="23" max="24" width="18.44140625" style="57" customWidth="1"/>
    <col min="25" max="25" width="11.77734375" style="57" customWidth="1"/>
    <col min="26" max="16384" width="9.109375" style="57"/>
  </cols>
  <sheetData>
    <row r="1" spans="1:24" ht="39.75" customHeight="1">
      <c r="A1" s="459" t="s">
        <v>28</v>
      </c>
      <c r="B1" s="88" t="s">
        <v>29</v>
      </c>
      <c r="C1" s="88"/>
      <c r="D1" s="89" t="s">
        <v>30</v>
      </c>
      <c r="E1" s="89" t="s">
        <v>31</v>
      </c>
      <c r="F1" s="90" t="s">
        <v>32</v>
      </c>
      <c r="G1" s="457" t="s">
        <v>33</v>
      </c>
      <c r="H1" s="457"/>
      <c r="I1" s="458"/>
      <c r="J1" s="91"/>
      <c r="K1" s="91"/>
      <c r="L1" s="91"/>
      <c r="M1" s="91"/>
      <c r="N1" s="462" t="s">
        <v>68</v>
      </c>
      <c r="O1" s="463"/>
      <c r="P1" s="466"/>
      <c r="Q1" s="466"/>
      <c r="R1" s="466"/>
      <c r="S1" s="466"/>
      <c r="T1" s="466"/>
      <c r="U1" s="466"/>
      <c r="V1" s="466"/>
      <c r="W1" s="466"/>
      <c r="X1" s="467"/>
    </row>
    <row r="2" spans="1:24" ht="39.6" customHeight="1">
      <c r="A2" s="460"/>
      <c r="B2" s="92"/>
      <c r="C2" s="92"/>
      <c r="D2" s="91" t="s">
        <v>27</v>
      </c>
      <c r="E2" s="89"/>
      <c r="F2" s="89" t="s">
        <v>34</v>
      </c>
      <c r="G2" s="89" t="s">
        <v>35</v>
      </c>
      <c r="H2" s="89" t="s">
        <v>36</v>
      </c>
      <c r="I2" s="89" t="s">
        <v>27</v>
      </c>
      <c r="J2" s="89" t="s">
        <v>37</v>
      </c>
      <c r="K2" s="89" t="s">
        <v>38</v>
      </c>
      <c r="L2" s="93" t="s">
        <v>39</v>
      </c>
      <c r="M2" s="89" t="s">
        <v>40</v>
      </c>
      <c r="N2" s="464"/>
      <c r="O2" s="465"/>
      <c r="P2" s="355" t="s">
        <v>346</v>
      </c>
      <c r="Q2" s="356" t="s">
        <v>349</v>
      </c>
      <c r="R2" s="357" t="s">
        <v>347</v>
      </c>
      <c r="S2" s="356"/>
      <c r="T2" s="89" t="s">
        <v>38</v>
      </c>
      <c r="U2" s="89" t="s">
        <v>39</v>
      </c>
      <c r="V2" s="358"/>
      <c r="W2" s="359"/>
      <c r="X2" s="359"/>
    </row>
    <row r="3" spans="1:24" ht="49.5" customHeight="1">
      <c r="A3" s="461"/>
      <c r="B3" s="94"/>
      <c r="C3" s="94" t="s">
        <v>41</v>
      </c>
      <c r="D3" s="91"/>
      <c r="E3" s="89"/>
      <c r="F3" s="89"/>
      <c r="G3" s="89"/>
      <c r="H3" s="89"/>
      <c r="I3" s="89"/>
      <c r="J3" s="89"/>
      <c r="K3" s="89"/>
      <c r="L3" s="93"/>
      <c r="M3" s="89"/>
      <c r="N3" s="89" t="s">
        <v>42</v>
      </c>
      <c r="O3" s="89" t="s">
        <v>43</v>
      </c>
      <c r="P3" s="356" t="s">
        <v>12</v>
      </c>
      <c r="Q3" s="360" t="s">
        <v>25</v>
      </c>
      <c r="R3" s="361" t="s">
        <v>348</v>
      </c>
      <c r="S3" s="360"/>
      <c r="T3" s="358"/>
      <c r="U3" s="358"/>
      <c r="V3" s="358"/>
      <c r="W3" s="89" t="s">
        <v>42</v>
      </c>
      <c r="X3" s="89" t="s">
        <v>43</v>
      </c>
    </row>
    <row r="4" spans="1:24" ht="15" customHeight="1">
      <c r="A4" s="95"/>
      <c r="B4" s="95"/>
      <c r="C4" s="95"/>
      <c r="D4" s="95"/>
      <c r="E4" s="96"/>
      <c r="F4" s="88"/>
      <c r="G4" s="88"/>
      <c r="H4" s="96"/>
      <c r="I4" s="88"/>
      <c r="J4" s="97"/>
      <c r="K4" s="88"/>
      <c r="L4" s="98"/>
      <c r="M4" s="88"/>
      <c r="N4" s="97"/>
      <c r="O4" s="97"/>
      <c r="P4" s="286"/>
      <c r="Q4" s="286"/>
      <c r="R4" s="286"/>
      <c r="S4" s="303"/>
      <c r="T4" s="303"/>
      <c r="U4" s="305"/>
      <c r="V4" s="304"/>
      <c r="W4" s="306"/>
      <c r="X4" s="307"/>
    </row>
    <row r="5" spans="1:24" s="518" customFormat="1" ht="13.8" customHeight="1">
      <c r="A5" s="510">
        <v>1</v>
      </c>
      <c r="B5" s="511" t="s">
        <v>271</v>
      </c>
      <c r="C5" s="283" t="s">
        <v>278</v>
      </c>
      <c r="D5" s="512" t="str">
        <f>LOÜ!C3</f>
        <v>White Spirit</v>
      </c>
      <c r="E5" s="513">
        <f>LOÜ!H3</f>
        <v>100</v>
      </c>
      <c r="F5" s="514">
        <f>LOÜ!G3</f>
        <v>3.028</v>
      </c>
      <c r="G5" s="515">
        <f>LOÜ!L3</f>
        <v>605.6</v>
      </c>
      <c r="H5" s="516"/>
      <c r="I5" s="516"/>
      <c r="J5" s="517" t="s">
        <v>45</v>
      </c>
      <c r="K5" s="300">
        <v>100</v>
      </c>
      <c r="L5" s="301">
        <f>SUM(K5:K5)</f>
        <v>100</v>
      </c>
      <c r="M5" s="291">
        <f>K5*$E$5/$L$5</f>
        <v>100</v>
      </c>
      <c r="N5" s="291">
        <f>O5*1000000/($G$5*3600)</f>
        <v>1.3888888888888888</v>
      </c>
      <c r="O5" s="292">
        <f>$F$5*M5/100</f>
        <v>3.028</v>
      </c>
      <c r="P5" s="293">
        <f>F5/15</f>
        <v>0.20186666666666667</v>
      </c>
      <c r="Q5" s="293">
        <f>LOÜ!N3/15</f>
        <v>0.33333333333333331</v>
      </c>
      <c r="R5" s="314">
        <f>P5/(Q5/1000)</f>
        <v>605.6</v>
      </c>
      <c r="S5" s="517" t="s">
        <v>45</v>
      </c>
      <c r="T5" s="300">
        <f>K5</f>
        <v>100</v>
      </c>
      <c r="U5" s="301">
        <f>L5</f>
        <v>100</v>
      </c>
      <c r="V5" s="291">
        <f>M5</f>
        <v>100</v>
      </c>
      <c r="W5" s="292">
        <f>X5*1000000/(R5*3600)</f>
        <v>9.2592592592592587E-2</v>
      </c>
      <c r="X5" s="292">
        <f>P5*V5/100</f>
        <v>0.20186666666666667</v>
      </c>
    </row>
    <row r="6" spans="1:24" s="244" customFormat="1" ht="14.4">
      <c r="A6" s="256">
        <v>2</v>
      </c>
      <c r="B6" s="309" t="s">
        <v>273</v>
      </c>
      <c r="C6" s="283" t="s">
        <v>278</v>
      </c>
      <c r="D6" s="250" t="str">
        <f>LOÜ!C4</f>
        <v>Nitrolahusti 646</v>
      </c>
      <c r="E6" s="240">
        <f>LOÜ!H4</f>
        <v>100</v>
      </c>
      <c r="F6" s="248">
        <f>LOÜ!G4</f>
        <v>4.2000000000000003E-2</v>
      </c>
      <c r="G6" s="241">
        <f>LOÜ!L4</f>
        <v>42</v>
      </c>
      <c r="H6" s="242" t="s">
        <v>264</v>
      </c>
      <c r="I6" s="239"/>
      <c r="J6" s="238" t="s">
        <v>47</v>
      </c>
      <c r="K6" s="238">
        <v>50</v>
      </c>
      <c r="L6" s="310">
        <f>K6+K7+K9+K10+K8</f>
        <v>110</v>
      </c>
      <c r="M6" s="291">
        <f>K6*$E$6/$L$6</f>
        <v>45.454545454545453</v>
      </c>
      <c r="N6" s="291">
        <f>O6*1000000/($G$6*3600)</f>
        <v>0.12626262626262627</v>
      </c>
      <c r="O6" s="292">
        <f>$F$6*M6/100</f>
        <v>1.9090909090909092E-2</v>
      </c>
      <c r="P6" s="293">
        <f>F6/5</f>
        <v>8.4000000000000012E-3</v>
      </c>
      <c r="Q6" s="362">
        <f>LOÜ!N4/5</f>
        <v>0.2</v>
      </c>
      <c r="R6" s="314">
        <f t="shared" ref="R6:R19" si="0">P6/(Q6/1000)</f>
        <v>42.000000000000007</v>
      </c>
      <c r="S6" s="238" t="s">
        <v>47</v>
      </c>
      <c r="T6" s="300">
        <f t="shared" ref="T6:T19" si="1">K6</f>
        <v>50</v>
      </c>
      <c r="U6" s="301">
        <f>L6</f>
        <v>110</v>
      </c>
      <c r="V6" s="291">
        <f>T6*$E$6/$L$6</f>
        <v>45.454545454545453</v>
      </c>
      <c r="W6" s="291">
        <f>X6*1000000/(R6*3600)</f>
        <v>2.5252525252525252E-2</v>
      </c>
      <c r="X6" s="292">
        <f>P6*V6/100</f>
        <v>3.8181818181818191E-3</v>
      </c>
    </row>
    <row r="7" spans="1:24" s="244" customFormat="1">
      <c r="A7" s="256"/>
      <c r="B7" s="294"/>
      <c r="C7" s="238"/>
      <c r="D7" s="250"/>
      <c r="E7" s="240"/>
      <c r="F7" s="248"/>
      <c r="G7" s="241"/>
      <c r="H7" s="242" t="s">
        <v>265</v>
      </c>
      <c r="I7" s="239"/>
      <c r="J7" s="238" t="s">
        <v>46</v>
      </c>
      <c r="K7" s="238">
        <v>15</v>
      </c>
      <c r="L7" s="310"/>
      <c r="M7" s="291">
        <f>K7*$E$6/$L$6</f>
        <v>13.636363636363637</v>
      </c>
      <c r="N7" s="291">
        <f>O7*1000000/($G$6*3600)</f>
        <v>3.787878787878788E-2</v>
      </c>
      <c r="O7" s="292">
        <f>$F$6*M7/100</f>
        <v>5.7272727272727275E-3</v>
      </c>
      <c r="P7" s="293"/>
      <c r="Q7" s="362"/>
      <c r="R7" s="314"/>
      <c r="S7" s="238" t="s">
        <v>46</v>
      </c>
      <c r="T7" s="300">
        <f t="shared" si="1"/>
        <v>15</v>
      </c>
      <c r="U7" s="301"/>
      <c r="V7" s="291">
        <f>T7*$E$6/$L$6</f>
        <v>13.636363636363637</v>
      </c>
      <c r="W7" s="291">
        <f>X7*1000000/(R6*3600)</f>
        <v>7.575757575757576E-3</v>
      </c>
      <c r="X7" s="292">
        <f>P6*V7/100</f>
        <v>1.1454545454545456E-3</v>
      </c>
    </row>
    <row r="8" spans="1:24" s="244" customFormat="1">
      <c r="A8" s="256"/>
      <c r="B8" s="294"/>
      <c r="C8" s="238"/>
      <c r="D8" s="250"/>
      <c r="E8" s="240"/>
      <c r="F8" s="248"/>
      <c r="G8" s="241"/>
      <c r="H8" s="242" t="s">
        <v>266</v>
      </c>
      <c r="I8" s="239"/>
      <c r="J8" s="238" t="s">
        <v>7</v>
      </c>
      <c r="K8" s="238">
        <v>5</v>
      </c>
      <c r="L8" s="310"/>
      <c r="M8" s="291">
        <f>K8*$E$6/$L$6</f>
        <v>4.5454545454545459</v>
      </c>
      <c r="N8" s="291">
        <f>O8*1000000/($G$6*3600)</f>
        <v>1.262626262626263E-2</v>
      </c>
      <c r="O8" s="292">
        <f>$F$6*M8/100</f>
        <v>1.9090909090909095E-3</v>
      </c>
      <c r="P8" s="293"/>
      <c r="Q8" s="362"/>
      <c r="R8" s="314"/>
      <c r="S8" s="238" t="s">
        <v>7</v>
      </c>
      <c r="T8" s="300">
        <f t="shared" si="1"/>
        <v>5</v>
      </c>
      <c r="U8" s="301"/>
      <c r="V8" s="291">
        <f>T8*$E$6/$L$6</f>
        <v>4.5454545454545459</v>
      </c>
      <c r="W8" s="291">
        <f>X8*1000000/(R6*3600)</f>
        <v>2.525252525252525E-3</v>
      </c>
      <c r="X8" s="292">
        <f>P6*V8/100</f>
        <v>3.818181818181819E-4</v>
      </c>
    </row>
    <row r="9" spans="1:24" s="244" customFormat="1">
      <c r="A9" s="256"/>
      <c r="B9" s="294"/>
      <c r="C9" s="238"/>
      <c r="D9" s="250"/>
      <c r="E9" s="240"/>
      <c r="F9" s="248"/>
      <c r="G9" s="241"/>
      <c r="H9" s="242"/>
      <c r="I9" s="239"/>
      <c r="J9" s="238" t="s">
        <v>45</v>
      </c>
      <c r="K9" s="238">
        <v>20</v>
      </c>
      <c r="L9" s="310"/>
      <c r="M9" s="291">
        <f>K9*$E$6/$L$6</f>
        <v>18.181818181818183</v>
      </c>
      <c r="N9" s="291">
        <f>O9*1000000/($G$6*3600)</f>
        <v>5.0505050505050518E-2</v>
      </c>
      <c r="O9" s="292">
        <f>$F$6*M9/100</f>
        <v>7.6363636363636382E-3</v>
      </c>
      <c r="P9" s="293"/>
      <c r="Q9" s="362"/>
      <c r="R9" s="314"/>
      <c r="S9" s="238" t="s">
        <v>45</v>
      </c>
      <c r="T9" s="300">
        <f t="shared" si="1"/>
        <v>20</v>
      </c>
      <c r="U9" s="301"/>
      <c r="V9" s="291">
        <f>T9*$E$6/$L$6</f>
        <v>18.181818181818183</v>
      </c>
      <c r="W9" s="291">
        <f>X9*1000000/(R6*3600)</f>
        <v>1.01010101010101E-2</v>
      </c>
      <c r="X9" s="292">
        <f>P6*V9/100</f>
        <v>1.5272727272727276E-3</v>
      </c>
    </row>
    <row r="10" spans="1:24" s="244" customFormat="1">
      <c r="A10" s="256"/>
      <c r="B10" s="294"/>
      <c r="C10" s="238"/>
      <c r="D10" s="250"/>
      <c r="E10" s="240"/>
      <c r="F10" s="248"/>
      <c r="G10" s="241"/>
      <c r="H10" s="242"/>
      <c r="I10" s="239"/>
      <c r="J10" s="238" t="s">
        <v>45</v>
      </c>
      <c r="K10" s="238">
        <v>20</v>
      </c>
      <c r="L10" s="310"/>
      <c r="M10" s="291">
        <f>K10*$E$6/$L$6</f>
        <v>18.181818181818183</v>
      </c>
      <c r="N10" s="291">
        <f>O10*1000000/($G$6*3600)</f>
        <v>5.0505050505050518E-2</v>
      </c>
      <c r="O10" s="292">
        <f>$F$6*M10/100</f>
        <v>7.6363636363636382E-3</v>
      </c>
      <c r="P10" s="293"/>
      <c r="Q10" s="362"/>
      <c r="R10" s="314"/>
      <c r="S10" s="238" t="s">
        <v>45</v>
      </c>
      <c r="T10" s="300">
        <f t="shared" si="1"/>
        <v>20</v>
      </c>
      <c r="U10" s="301"/>
      <c r="V10" s="291">
        <f>T10*$E$6/$L$6</f>
        <v>18.181818181818183</v>
      </c>
      <c r="W10" s="291">
        <f>X10*1000000/(R6*3600)</f>
        <v>1.01010101010101E-2</v>
      </c>
      <c r="X10" s="292">
        <f>P6*V10/100</f>
        <v>1.5272727272727276E-3</v>
      </c>
    </row>
    <row r="11" spans="1:24" s="531" customFormat="1" ht="14.4">
      <c r="A11" s="519">
        <v>3</v>
      </c>
      <c r="B11" s="311" t="s">
        <v>274</v>
      </c>
      <c r="C11" s="520" t="s">
        <v>279</v>
      </c>
      <c r="D11" s="521" t="str">
        <f>LOÜ!C5</f>
        <v>PENOSIL General Silicone</v>
      </c>
      <c r="E11" s="522">
        <f>LOÜ!H5</f>
        <v>7.8241430700447104E-2</v>
      </c>
      <c r="F11" s="523">
        <f>LOÜ!G5</f>
        <v>6.6435710000000006</v>
      </c>
      <c r="G11" s="524">
        <f>LOÜ!L5</f>
        <v>1328.7142000000001</v>
      </c>
      <c r="H11" s="525" t="s">
        <v>267</v>
      </c>
      <c r="I11" s="526"/>
      <c r="J11" s="519" t="s">
        <v>45</v>
      </c>
      <c r="K11" s="519">
        <v>1</v>
      </c>
      <c r="L11" s="246">
        <f>K11</f>
        <v>1</v>
      </c>
      <c r="M11" s="291">
        <f>K11*$E$11/$L$11</f>
        <v>7.8241430700447104E-2</v>
      </c>
      <c r="N11" s="291">
        <f>O11*1000000/($G$11*3600)</f>
        <v>1.0866865375062098E-3</v>
      </c>
      <c r="O11" s="292">
        <f>$F$11*M11/100</f>
        <v>5.1980250000000002E-3</v>
      </c>
      <c r="P11" s="527">
        <f>F11/2</f>
        <v>3.3217855000000003</v>
      </c>
      <c r="Q11" s="527">
        <f>LOÜ!N5/2</f>
        <v>2.5</v>
      </c>
      <c r="R11" s="528">
        <f t="shared" si="0"/>
        <v>1328.7142000000001</v>
      </c>
      <c r="S11" s="519" t="s">
        <v>45</v>
      </c>
      <c r="T11" s="529">
        <f t="shared" si="1"/>
        <v>1</v>
      </c>
      <c r="U11" s="530">
        <f t="shared" ref="U11:U19" si="2">L11</f>
        <v>1</v>
      </c>
      <c r="V11" s="291">
        <f>T11*$E$11/$L$11</f>
        <v>7.8241430700447104E-2</v>
      </c>
      <c r="W11" s="291">
        <f>X11*1000000/(R11*3600)</f>
        <v>5.433432687531049E-4</v>
      </c>
      <c r="X11" s="292">
        <f>P11*V11/100</f>
        <v>2.5990125000000001E-3</v>
      </c>
    </row>
    <row r="12" spans="1:24" s="243" customFormat="1" ht="14.4">
      <c r="A12" s="256">
        <v>4</v>
      </c>
      <c r="B12" s="532" t="s">
        <v>275</v>
      </c>
      <c r="C12" s="283" t="s">
        <v>278</v>
      </c>
      <c r="D12" s="250" t="str">
        <f>LOÜ!C6</f>
        <v>Linx Solvent 1512</v>
      </c>
      <c r="E12" s="240">
        <f>LOÜ!H6</f>
        <v>100</v>
      </c>
      <c r="F12" s="248">
        <f>LOÜ!G6</f>
        <v>1.2749999999999999E-2</v>
      </c>
      <c r="G12" s="241">
        <f>LOÜ!L6</f>
        <v>12.75</v>
      </c>
      <c r="H12" s="533" t="s">
        <v>268</v>
      </c>
      <c r="I12" s="239"/>
      <c r="J12" s="238" t="s">
        <v>45</v>
      </c>
      <c r="K12" s="534">
        <v>99.9</v>
      </c>
      <c r="L12" s="535">
        <f>K12</f>
        <v>99.9</v>
      </c>
      <c r="M12" s="291">
        <f>K12*$E$12/$L$12</f>
        <v>100</v>
      </c>
      <c r="N12" s="291">
        <f>O12*1000000/($G$12*3600)</f>
        <v>0.27777777777777779</v>
      </c>
      <c r="O12" s="292">
        <f>$F$12*M12/100</f>
        <v>1.2749999999999999E-2</v>
      </c>
      <c r="P12" s="293">
        <f>F12/3</f>
        <v>4.2499999999999994E-3</v>
      </c>
      <c r="Q12" s="362">
        <f>LOÜ!N6/3</f>
        <v>0.33333333333333331</v>
      </c>
      <c r="R12" s="314">
        <f t="shared" si="0"/>
        <v>12.749999999999998</v>
      </c>
      <c r="S12" s="238" t="s">
        <v>45</v>
      </c>
      <c r="T12" s="300">
        <f t="shared" si="1"/>
        <v>99.9</v>
      </c>
      <c r="U12" s="301">
        <f t="shared" si="2"/>
        <v>99.9</v>
      </c>
      <c r="V12" s="291">
        <f>T12*$E$12/$L$12</f>
        <v>100</v>
      </c>
      <c r="W12" s="291">
        <f>X12*1000000/(R12*3600)</f>
        <v>9.2592592592592587E-2</v>
      </c>
      <c r="X12" s="292">
        <f>P12*V12/100</f>
        <v>4.2499999999999994E-3</v>
      </c>
    </row>
    <row r="13" spans="1:24" s="243" customFormat="1" ht="14.4">
      <c r="A13" s="256">
        <v>5</v>
      </c>
      <c r="B13" s="532" t="s">
        <v>272</v>
      </c>
      <c r="C13" s="283" t="s">
        <v>278</v>
      </c>
      <c r="D13" s="250" t="str">
        <f>LOÜ!C7</f>
        <v>AlphaJET solvent</v>
      </c>
      <c r="E13" s="240">
        <f>LOÜ!H7</f>
        <v>99.378881987577643</v>
      </c>
      <c r="F13" s="248">
        <f>LOÜ!G7</f>
        <v>1.2075000000000001E-2</v>
      </c>
      <c r="G13" s="241">
        <f>LOÜ!L7</f>
        <v>12.075000000000001</v>
      </c>
      <c r="H13" s="290" t="s">
        <v>269</v>
      </c>
      <c r="I13" s="239"/>
      <c r="J13" s="238" t="s">
        <v>45</v>
      </c>
      <c r="K13" s="534">
        <v>95</v>
      </c>
      <c r="L13" s="246">
        <f>K13</f>
        <v>95</v>
      </c>
      <c r="M13" s="291">
        <f>K13*$E$13/$L$13</f>
        <v>99.378881987577643</v>
      </c>
      <c r="N13" s="291">
        <f>O13*1000000/($G$13*3600)</f>
        <v>0.27605244996549344</v>
      </c>
      <c r="O13" s="292">
        <f>$F$13*M13/100</f>
        <v>1.2000000000000002E-2</v>
      </c>
      <c r="P13" s="293">
        <f>F13/4</f>
        <v>3.0187500000000002E-3</v>
      </c>
      <c r="Q13" s="362">
        <f>LOÜ!N7/4</f>
        <v>0.25</v>
      </c>
      <c r="R13" s="314">
        <f t="shared" si="0"/>
        <v>12.075000000000001</v>
      </c>
      <c r="S13" s="238" t="s">
        <v>45</v>
      </c>
      <c r="T13" s="300">
        <f t="shared" si="1"/>
        <v>95</v>
      </c>
      <c r="U13" s="301">
        <f t="shared" si="2"/>
        <v>95</v>
      </c>
      <c r="V13" s="291">
        <f>T13*$E$13/$L$13</f>
        <v>99.378881987577643</v>
      </c>
      <c r="W13" s="291">
        <f t="shared" ref="W13:W19" si="3">X13*1000000/(R13*3600)</f>
        <v>6.901311249137336E-2</v>
      </c>
      <c r="X13" s="292">
        <f>P13*V13/100</f>
        <v>3.0000000000000005E-3</v>
      </c>
    </row>
    <row r="14" spans="1:24" s="243" customFormat="1" ht="14.4">
      <c r="A14" s="256">
        <v>6</v>
      </c>
      <c r="B14" s="311" t="s">
        <v>276</v>
      </c>
      <c r="C14" s="283" t="s">
        <v>280</v>
      </c>
      <c r="D14" s="250" t="str">
        <f>LOÜ!C8</f>
        <v>Puhastusspray</v>
      </c>
      <c r="E14" s="240">
        <f>LOÜ!H8</f>
        <v>100</v>
      </c>
      <c r="F14" s="248">
        <f>LOÜ!G8</f>
        <v>7.1399999999999991E-2</v>
      </c>
      <c r="G14" s="241">
        <f>LOÜ!L8</f>
        <v>71.399999999999991</v>
      </c>
      <c r="H14" s="290"/>
      <c r="I14" s="239"/>
      <c r="J14" s="238" t="s">
        <v>45</v>
      </c>
      <c r="K14" s="295">
        <v>100</v>
      </c>
      <c r="L14" s="246">
        <f>K14+K15</f>
        <v>110</v>
      </c>
      <c r="M14" s="291">
        <f>K14*$E$14/$L$14</f>
        <v>90.909090909090907</v>
      </c>
      <c r="N14" s="291">
        <f>O14*1000000/($G$14*3600)</f>
        <v>0.25252525252525254</v>
      </c>
      <c r="O14" s="292">
        <f>$F$14*M14/100</f>
        <v>6.4909090909090902E-2</v>
      </c>
      <c r="P14" s="293">
        <f>F14/5</f>
        <v>1.4279999999999998E-2</v>
      </c>
      <c r="Q14" s="362">
        <f>LOÜ!N8/5</f>
        <v>0.2</v>
      </c>
      <c r="R14" s="314">
        <f t="shared" si="0"/>
        <v>71.399999999999977</v>
      </c>
      <c r="S14" s="238" t="s">
        <v>45</v>
      </c>
      <c r="T14" s="300">
        <f t="shared" si="1"/>
        <v>100</v>
      </c>
      <c r="U14" s="301">
        <f t="shared" si="2"/>
        <v>110</v>
      </c>
      <c r="V14" s="291">
        <f>T14*$E$14/$L$14</f>
        <v>90.909090909090907</v>
      </c>
      <c r="W14" s="291">
        <f>X14*1000000/(R14*3600)</f>
        <v>5.0505050505050518E-2</v>
      </c>
      <c r="X14" s="292">
        <f>P14*V14/100</f>
        <v>1.2981818181818179E-2</v>
      </c>
    </row>
    <row r="15" spans="1:24" s="243" customFormat="1" ht="14.4">
      <c r="A15" s="256"/>
      <c r="B15" s="294"/>
      <c r="C15" s="238"/>
      <c r="D15" s="250"/>
      <c r="E15" s="240"/>
      <c r="F15" s="248"/>
      <c r="G15" s="241"/>
      <c r="H15" s="290" t="s">
        <v>270</v>
      </c>
      <c r="I15" s="239"/>
      <c r="J15" s="238" t="s">
        <v>48</v>
      </c>
      <c r="K15" s="295">
        <v>10</v>
      </c>
      <c r="L15" s="296"/>
      <c r="M15" s="291">
        <f>K15*$E$14/$L$14</f>
        <v>9.0909090909090917</v>
      </c>
      <c r="N15" s="291">
        <f>O15*1000000/($G$14*3600)</f>
        <v>2.5252525252525256E-2</v>
      </c>
      <c r="O15" s="292">
        <f>$F$14*M15/100</f>
        <v>6.4909090909090906E-3</v>
      </c>
      <c r="P15" s="293"/>
      <c r="Q15" s="362"/>
      <c r="R15" s="314"/>
      <c r="S15" s="238" t="s">
        <v>48</v>
      </c>
      <c r="T15" s="300">
        <f t="shared" si="1"/>
        <v>10</v>
      </c>
      <c r="U15" s="301"/>
      <c r="V15" s="291">
        <f>T15*$E$14/$L$14</f>
        <v>9.0909090909090917</v>
      </c>
      <c r="W15" s="291">
        <f>X15*1000000/(R14*3600)</f>
        <v>5.0505050505050518E-3</v>
      </c>
      <c r="X15" s="292">
        <f>P14*V15/100</f>
        <v>1.2981818181818181E-3</v>
      </c>
    </row>
    <row r="16" spans="1:24" s="243" customFormat="1" ht="14.4">
      <c r="A16" s="256">
        <v>7</v>
      </c>
      <c r="B16" s="532" t="s">
        <v>277</v>
      </c>
      <c r="C16" s="283" t="s">
        <v>281</v>
      </c>
      <c r="D16" s="250" t="str">
        <f>LOÜ!C9</f>
        <v>Silikoonivõie spray 500 ml</v>
      </c>
      <c r="E16" s="240">
        <f>LOÜ!H9</f>
        <v>74.925139664804476</v>
      </c>
      <c r="F16" s="248">
        <f>LOÜ!G9</f>
        <v>0.17899999999999999</v>
      </c>
      <c r="G16" s="241">
        <f>LOÜ!L9</f>
        <v>179</v>
      </c>
      <c r="H16" s="290"/>
      <c r="I16" s="239"/>
      <c r="J16" s="238" t="s">
        <v>45</v>
      </c>
      <c r="K16" s="295">
        <v>10</v>
      </c>
      <c r="L16" s="297">
        <f>K16+K17+K18</f>
        <v>12</v>
      </c>
      <c r="M16" s="291">
        <f>K16*$E$16/$L$16</f>
        <v>62.437616387337066</v>
      </c>
      <c r="N16" s="291">
        <f>O16*1000000/($G$16*3600)</f>
        <v>0.17343782329815852</v>
      </c>
      <c r="O16" s="292">
        <f>$F$16*M16/100</f>
        <v>0.11176333333333334</v>
      </c>
      <c r="P16" s="293">
        <f>F16/7</f>
        <v>2.5571428571428571E-2</v>
      </c>
      <c r="Q16" s="362">
        <f>LOÜ!N9/7</f>
        <v>0.14285714285714285</v>
      </c>
      <c r="R16" s="314">
        <f t="shared" si="0"/>
        <v>179.00000000000003</v>
      </c>
      <c r="S16" s="238" t="s">
        <v>45</v>
      </c>
      <c r="T16" s="300">
        <f t="shared" si="1"/>
        <v>10</v>
      </c>
      <c r="U16" s="301">
        <f t="shared" si="2"/>
        <v>12</v>
      </c>
      <c r="V16" s="291">
        <f>T16*$E$16/$L$16</f>
        <v>62.437616387337066</v>
      </c>
      <c r="W16" s="291">
        <f t="shared" si="3"/>
        <v>2.4776831899736923E-2</v>
      </c>
      <c r="X16" s="292">
        <f>P16*V16/100</f>
        <v>1.5966190476190478E-2</v>
      </c>
    </row>
    <row r="17" spans="1:24" s="243" customFormat="1" ht="14.4">
      <c r="A17" s="256"/>
      <c r="B17" s="294"/>
      <c r="C17" s="238"/>
      <c r="D17" s="250"/>
      <c r="E17" s="240"/>
      <c r="F17" s="248"/>
      <c r="G17" s="241"/>
      <c r="H17" s="290"/>
      <c r="I17" s="239"/>
      <c r="J17" s="238" t="s">
        <v>45</v>
      </c>
      <c r="K17" s="295">
        <v>1.5</v>
      </c>
      <c r="L17" s="296"/>
      <c r="M17" s="291">
        <f>K17*$E$16/$L$16</f>
        <v>9.3656424581005595</v>
      </c>
      <c r="N17" s="291">
        <f>O17*1000000/($G$16*3600)</f>
        <v>2.6015673494723775E-2</v>
      </c>
      <c r="O17" s="292">
        <f t="shared" ref="O17:O18" si="4">$F$16*M17/100</f>
        <v>1.6764500000000002E-2</v>
      </c>
      <c r="P17" s="293"/>
      <c r="Q17" s="362"/>
      <c r="R17" s="314"/>
      <c r="S17" s="238" t="s">
        <v>45</v>
      </c>
      <c r="T17" s="300">
        <f t="shared" si="1"/>
        <v>1.5</v>
      </c>
      <c r="U17" s="301"/>
      <c r="V17" s="291">
        <f>T17*$E$16/$L$16</f>
        <v>9.3656424581005595</v>
      </c>
      <c r="W17" s="291">
        <f>X17*1000000/(R16*3600)</f>
        <v>3.7165247849605385E-3</v>
      </c>
      <c r="X17" s="292">
        <f>P16*V17/100</f>
        <v>2.3949285714285717E-3</v>
      </c>
    </row>
    <row r="18" spans="1:24" s="243" customFormat="1" ht="14.4">
      <c r="A18" s="256"/>
      <c r="B18" s="294"/>
      <c r="C18" s="238"/>
      <c r="D18" s="250"/>
      <c r="E18" s="240"/>
      <c r="F18" s="248"/>
      <c r="G18" s="241"/>
      <c r="H18" s="290"/>
      <c r="I18" s="239"/>
      <c r="J18" s="238" t="s">
        <v>45</v>
      </c>
      <c r="K18" s="295">
        <v>0.5</v>
      </c>
      <c r="L18" s="296"/>
      <c r="M18" s="291">
        <f>K18*$E$16/$L$16</f>
        <v>3.121880819366853</v>
      </c>
      <c r="N18" s="291">
        <f>O18*1000000/($G$16*3600)</f>
        <v>8.6718911649079251E-3</v>
      </c>
      <c r="O18" s="292">
        <f t="shared" si="4"/>
        <v>5.5881666666666666E-3</v>
      </c>
      <c r="P18" s="293"/>
      <c r="Q18" s="362"/>
      <c r="R18" s="314"/>
      <c r="S18" s="238" t="s">
        <v>45</v>
      </c>
      <c r="T18" s="300">
        <f t="shared" si="1"/>
        <v>0.5</v>
      </c>
      <c r="U18" s="301"/>
      <c r="V18" s="291">
        <f>T18*$E$16/$L$16</f>
        <v>3.121880819366853</v>
      </c>
      <c r="W18" s="291">
        <f>X18*1000000/(R16*3600)</f>
        <v>1.2388415949868461E-3</v>
      </c>
      <c r="X18" s="292">
        <f>P16*V18/100</f>
        <v>7.9830952380952373E-4</v>
      </c>
    </row>
    <row r="19" spans="1:24" s="243" customFormat="1" ht="14.4">
      <c r="A19" s="256">
        <v>8</v>
      </c>
      <c r="B19" s="311" t="s">
        <v>273</v>
      </c>
      <c r="C19" s="283" t="s">
        <v>278</v>
      </c>
      <c r="D19" s="250" t="str">
        <f>LOÜ!C10</f>
        <v>Atsetoon</v>
      </c>
      <c r="E19" s="240">
        <f>LOÜ!H10</f>
        <v>100</v>
      </c>
      <c r="F19" s="248">
        <f>LOÜ!G10</f>
        <v>7.9000000000000001E-2</v>
      </c>
      <c r="G19" s="241">
        <f>LOÜ!L10</f>
        <v>79</v>
      </c>
      <c r="H19" s="290"/>
      <c r="I19" s="239"/>
      <c r="J19" s="238" t="s">
        <v>7</v>
      </c>
      <c r="K19" s="312">
        <v>100</v>
      </c>
      <c r="L19" s="297">
        <f>K19</f>
        <v>100</v>
      </c>
      <c r="M19" s="291">
        <f>K19*$E$19/$L$19</f>
        <v>100</v>
      </c>
      <c r="N19" s="291">
        <f>O19*1000000/($G$19*3600)</f>
        <v>0.27777777777777779</v>
      </c>
      <c r="O19" s="292">
        <f>$F$19*M19/100</f>
        <v>7.9000000000000001E-2</v>
      </c>
      <c r="P19" s="293">
        <f>F19/5</f>
        <v>1.5800000000000002E-2</v>
      </c>
      <c r="Q19" s="362">
        <f>LOÜ!N10/5</f>
        <v>0.2</v>
      </c>
      <c r="R19" s="314">
        <f t="shared" si="0"/>
        <v>79</v>
      </c>
      <c r="S19" s="238" t="s">
        <v>7</v>
      </c>
      <c r="T19" s="300">
        <f t="shared" si="1"/>
        <v>100</v>
      </c>
      <c r="U19" s="313">
        <f t="shared" si="2"/>
        <v>100</v>
      </c>
      <c r="V19" s="291">
        <f>T19*$E$19/$L$19</f>
        <v>100</v>
      </c>
      <c r="W19" s="291">
        <f t="shared" si="3"/>
        <v>5.5555555555555559E-2</v>
      </c>
      <c r="X19" s="292">
        <f>P19*V19/100</f>
        <v>1.5800000000000002E-2</v>
      </c>
    </row>
    <row r="20" spans="1:24" s="62" customFormat="1">
      <c r="A20" s="57"/>
      <c r="C20" s="59"/>
      <c r="F20" s="285">
        <f>SUM(F5:F19)</f>
        <v>10.067796000000001</v>
      </c>
      <c r="H20" s="70"/>
      <c r="J20" s="57"/>
      <c r="K20" s="71"/>
      <c r="L20" s="60"/>
      <c r="M20" s="65"/>
      <c r="N20" s="72"/>
      <c r="O20" s="354">
        <f>SUM(O5:O19)</f>
        <v>3.3844640249999993</v>
      </c>
      <c r="P20" s="284"/>
      <c r="Q20" s="64"/>
      <c r="R20" s="64"/>
      <c r="S20" s="59"/>
      <c r="T20" s="59"/>
    </row>
    <row r="21" spans="1:24" s="62" customFormat="1">
      <c r="A21" s="57"/>
      <c r="C21" s="59"/>
      <c r="D21" s="58"/>
      <c r="H21" s="70"/>
      <c r="J21" s="57"/>
      <c r="K21" s="65"/>
      <c r="L21" s="60"/>
      <c r="M21" s="65"/>
      <c r="N21" s="65"/>
      <c r="O21" s="57"/>
      <c r="P21" s="57"/>
      <c r="Q21" s="64"/>
      <c r="R21" s="64"/>
      <c r="S21" s="59"/>
      <c r="T21" s="59"/>
    </row>
    <row r="22" spans="1:24" s="62" customFormat="1" ht="14.4">
      <c r="A22" s="57"/>
      <c r="C22"/>
      <c r="D22"/>
      <c r="E22"/>
      <c r="F22"/>
      <c r="G22"/>
      <c r="H22"/>
      <c r="K22" s="57"/>
      <c r="L22" s="63"/>
      <c r="M22" s="57"/>
      <c r="N22" s="57"/>
      <c r="O22" s="57"/>
      <c r="P22" s="57"/>
      <c r="Q22" s="59"/>
      <c r="R22" s="59"/>
      <c r="S22" s="59"/>
      <c r="T22" s="59"/>
    </row>
    <row r="23" spans="1:24" s="62" customFormat="1" ht="14.4">
      <c r="A23" s="57"/>
      <c r="D23" s="62" t="s">
        <v>345</v>
      </c>
      <c r="F23"/>
      <c r="G23"/>
      <c r="H23"/>
      <c r="I23" s="62" t="s">
        <v>366</v>
      </c>
      <c r="K23" s="57"/>
      <c r="L23" s="63"/>
      <c r="P23" s="57"/>
      <c r="Q23" s="59"/>
      <c r="R23" s="59"/>
      <c r="S23" s="59"/>
      <c r="T23" s="59"/>
    </row>
    <row r="24" spans="1:24" s="62" customFormat="1" ht="14.4">
      <c r="A24" s="57"/>
      <c r="B24" s="76"/>
      <c r="D24" s="61" t="s">
        <v>49</v>
      </c>
      <c r="E24" s="66" t="s">
        <v>50</v>
      </c>
      <c r="F24" s="61" t="s">
        <v>12</v>
      </c>
      <c r="G24" s="251"/>
      <c r="H24" s="106"/>
      <c r="I24" s="61" t="s">
        <v>49</v>
      </c>
      <c r="J24" s="66" t="s">
        <v>50</v>
      </c>
      <c r="K24" s="61" t="s">
        <v>12</v>
      </c>
      <c r="L24" s="63"/>
      <c r="M24" s="57"/>
      <c r="P24" s="57"/>
      <c r="Q24" s="59"/>
      <c r="R24" s="59"/>
      <c r="S24" s="59"/>
      <c r="T24" s="59"/>
    </row>
    <row r="25" spans="1:24" ht="14.4">
      <c r="B25" s="308"/>
      <c r="D25" s="99" t="s">
        <v>46</v>
      </c>
      <c r="E25" s="298">
        <f>SUMIF($J$5:$J$19,D25,$N$5:$N$19)</f>
        <v>3.787878787878788E-2</v>
      </c>
      <c r="F25" s="247">
        <f>SUMIF($J$5:$J$19,D25,$O$5:$O$19)</f>
        <v>5.7272727272727275E-3</v>
      </c>
      <c r="G25" s="254"/>
      <c r="H25" s="252"/>
      <c r="I25" s="99" t="s">
        <v>46</v>
      </c>
      <c r="J25" s="298">
        <v>0</v>
      </c>
      <c r="K25" s="247">
        <v>0</v>
      </c>
      <c r="M25" s="57">
        <f t="shared" ref="M25:M29" si="5">K25*4</f>
        <v>0</v>
      </c>
      <c r="Q25" s="59"/>
      <c r="R25" s="59"/>
      <c r="S25" s="59"/>
      <c r="T25" s="59"/>
    </row>
    <row r="26" spans="1:24" s="62" customFormat="1" ht="14.4">
      <c r="A26" s="57"/>
      <c r="B26" s="308"/>
      <c r="C26" s="57"/>
      <c r="D26" s="99" t="s">
        <v>45</v>
      </c>
      <c r="E26" s="298">
        <f t="shared" ref="E26:E28" si="6">SUMIF($J$5:$J$19,D26,$N$5:$N$19)</f>
        <v>2.5054665446628097</v>
      </c>
      <c r="F26" s="247">
        <f>SUMIF($J$5:$J$19,D26,$O$5:$O$19)</f>
        <v>3.2722458431818175</v>
      </c>
      <c r="G26" s="254"/>
      <c r="H26" s="70"/>
      <c r="I26" s="99" t="s">
        <v>45</v>
      </c>
      <c r="J26" s="287">
        <f>W5+W13+W16+W17+W18</f>
        <v>0.19133790336365025</v>
      </c>
      <c r="K26" s="247">
        <f>X5+X13+X16+X17+X18</f>
        <v>0.22402609523809522</v>
      </c>
      <c r="L26" s="63"/>
      <c r="M26" s="83">
        <f>K26*4</f>
        <v>0.89610438095238087</v>
      </c>
      <c r="P26" s="57"/>
      <c r="Q26" s="59"/>
      <c r="R26" s="59"/>
      <c r="S26" s="59"/>
      <c r="T26" s="59"/>
    </row>
    <row r="27" spans="1:24" ht="14.4">
      <c r="B27" s="308"/>
      <c r="D27" s="99" t="s">
        <v>47</v>
      </c>
      <c r="E27" s="298">
        <f t="shared" si="6"/>
        <v>0.12626262626262627</v>
      </c>
      <c r="F27" s="247">
        <f>SUMIF($J$5:$J$19,D27,$O$5:$O$19)</f>
        <v>1.9090909090909092E-2</v>
      </c>
      <c r="G27" s="254"/>
      <c r="H27" s="252"/>
      <c r="I27" s="99" t="s">
        <v>47</v>
      </c>
      <c r="J27" s="298">
        <v>0</v>
      </c>
      <c r="K27" s="247">
        <v>0</v>
      </c>
      <c r="M27" s="57">
        <f t="shared" si="5"/>
        <v>0</v>
      </c>
      <c r="P27" s="83"/>
      <c r="Q27" s="59"/>
      <c r="R27" s="59"/>
      <c r="S27" s="59"/>
      <c r="T27" s="59"/>
    </row>
    <row r="28" spans="1:24" ht="14.4">
      <c r="B28" s="308"/>
      <c r="D28" s="99" t="s">
        <v>48</v>
      </c>
      <c r="E28" s="298">
        <f t="shared" si="6"/>
        <v>2.5252525252525256E-2</v>
      </c>
      <c r="F28" s="247">
        <f>SUMIF($J$5:$J$19,D28,$O$5:$O$19)</f>
        <v>6.4909090909090906E-3</v>
      </c>
      <c r="G28" s="254"/>
      <c r="H28" s="58"/>
      <c r="I28" s="99" t="s">
        <v>48</v>
      </c>
      <c r="J28" s="298">
        <v>0</v>
      </c>
      <c r="K28" s="247">
        <v>0</v>
      </c>
      <c r="M28" s="57">
        <f t="shared" si="5"/>
        <v>0</v>
      </c>
      <c r="Q28" s="59"/>
      <c r="R28" s="59"/>
      <c r="S28" s="59"/>
      <c r="T28" s="59"/>
    </row>
    <row r="29" spans="1:24" ht="14.4">
      <c r="B29" s="308"/>
      <c r="C29" s="62"/>
      <c r="D29" s="238" t="s">
        <v>7</v>
      </c>
      <c r="E29" s="298">
        <f>SUMIF($J$5:$J$19,D29,$N$5:$N$19)</f>
        <v>0.29040404040404044</v>
      </c>
      <c r="F29" s="247">
        <f>SUMIF($J$5:$J$19,D29,$O$5:$O$19)</f>
        <v>8.0909090909090917E-2</v>
      </c>
      <c r="G29" s="254"/>
      <c r="H29" s="253"/>
      <c r="I29" s="99" t="s">
        <v>7</v>
      </c>
      <c r="J29" s="298">
        <v>0</v>
      </c>
      <c r="K29" s="247">
        <v>0</v>
      </c>
      <c r="M29" s="57">
        <f t="shared" si="5"/>
        <v>0</v>
      </c>
      <c r="Q29" s="59"/>
      <c r="R29" s="59"/>
      <c r="S29" s="59"/>
      <c r="T29" s="59"/>
    </row>
    <row r="30" spans="1:24" ht="14.4">
      <c r="B30" s="308"/>
      <c r="D30" s="73"/>
      <c r="E30" s="299"/>
      <c r="F30" s="257"/>
      <c r="G30" s="254"/>
      <c r="H30" s="64"/>
      <c r="I30" s="73"/>
      <c r="J30" s="299"/>
      <c r="K30" s="257"/>
      <c r="Q30" s="59"/>
      <c r="R30" s="59"/>
      <c r="S30" s="59"/>
      <c r="T30" s="59"/>
    </row>
    <row r="31" spans="1:24">
      <c r="B31" s="79"/>
      <c r="D31" s="74" t="s">
        <v>45</v>
      </c>
      <c r="E31" s="298">
        <f>SUM(E25:E29)</f>
        <v>2.9852645244607894</v>
      </c>
      <c r="F31" s="69">
        <f>SUM(F25:F29)</f>
        <v>3.3844640249999993</v>
      </c>
      <c r="G31" s="315">
        <f>M31+M42+M54+M66+M78</f>
        <v>3.3844640249999998</v>
      </c>
      <c r="H31" s="64"/>
      <c r="I31" s="74" t="s">
        <v>45</v>
      </c>
      <c r="J31" s="298">
        <f>SUM(J25:J29)</f>
        <v>0.19133790336365025</v>
      </c>
      <c r="K31" s="69">
        <f>SUM(K25:K29)</f>
        <v>0.22402609523809522</v>
      </c>
      <c r="L31" s="302"/>
      <c r="M31" s="83">
        <f>K31*4</f>
        <v>0.89610438095238087</v>
      </c>
      <c r="Q31" s="59"/>
      <c r="R31" s="59"/>
      <c r="S31" s="59"/>
      <c r="T31" s="59"/>
    </row>
    <row r="32" spans="1:24">
      <c r="D32" s="74" t="s">
        <v>51</v>
      </c>
      <c r="E32" s="298">
        <f>E27</f>
        <v>0.12626262626262627</v>
      </c>
      <c r="F32" s="258">
        <f>F27</f>
        <v>1.9090909090909092E-2</v>
      </c>
      <c r="G32" s="70"/>
      <c r="H32" s="64"/>
      <c r="I32" s="74" t="s">
        <v>51</v>
      </c>
      <c r="J32" s="298">
        <f>J27</f>
        <v>0</v>
      </c>
      <c r="K32" s="258">
        <f>K27</f>
        <v>0</v>
      </c>
      <c r="Q32" s="59"/>
      <c r="R32" s="59"/>
      <c r="S32" s="59"/>
      <c r="T32" s="59"/>
    </row>
    <row r="33" spans="4:22" ht="14.4">
      <c r="D33" s="81"/>
      <c r="E33" s="82"/>
      <c r="G33" s="255"/>
      <c r="H33" s="64"/>
      <c r="N33" s="284"/>
      <c r="O33" s="284"/>
      <c r="Q33" s="59"/>
      <c r="R33" s="59"/>
      <c r="S33" s="59"/>
      <c r="T33" s="59"/>
    </row>
    <row r="34" spans="4:22" ht="14.4">
      <c r="D34" s="81"/>
      <c r="E34" s="82"/>
      <c r="F34" s="288"/>
      <c r="G34" s="255"/>
      <c r="H34" s="64"/>
      <c r="I34" s="62" t="s">
        <v>367</v>
      </c>
      <c r="Q34" s="64"/>
      <c r="R34" s="59"/>
      <c r="S34" s="59"/>
      <c r="T34" s="59"/>
    </row>
    <row r="35" spans="4:22" ht="14.4">
      <c r="D35" s="81"/>
      <c r="E35" s="82"/>
      <c r="G35" s="79"/>
      <c r="H35" s="83"/>
      <c r="I35" s="61" t="s">
        <v>49</v>
      </c>
      <c r="J35" s="66" t="s">
        <v>50</v>
      </c>
      <c r="K35" s="61" t="s">
        <v>12</v>
      </c>
      <c r="V35" s="83"/>
    </row>
    <row r="36" spans="4:22" ht="14.4">
      <c r="D36" s="84"/>
      <c r="E36" s="82"/>
      <c r="G36" s="79"/>
      <c r="H36" s="83"/>
      <c r="I36" s="99" t="s">
        <v>46</v>
      </c>
      <c r="J36" s="298">
        <v>0</v>
      </c>
      <c r="K36" s="247">
        <v>0</v>
      </c>
      <c r="M36" s="57">
        <f t="shared" ref="M36:M41" si="7">K36*5</f>
        <v>0</v>
      </c>
    </row>
    <row r="37" spans="4:22" ht="14.4">
      <c r="D37" s="84"/>
      <c r="E37" s="82"/>
      <c r="G37" s="79"/>
      <c r="H37" s="83"/>
      <c r="I37" s="99" t="s">
        <v>45</v>
      </c>
      <c r="J37" s="298">
        <f>W5+W12+W16+W17+W18</f>
        <v>0.21491738346486949</v>
      </c>
      <c r="K37" s="68">
        <f>X5+X12+X16+X17+X18</f>
        <v>0.22527609523809522</v>
      </c>
      <c r="M37" s="83">
        <f>K37*5</f>
        <v>1.1263804761904761</v>
      </c>
    </row>
    <row r="38" spans="4:22" ht="14.4">
      <c r="D38" s="289"/>
      <c r="E38" s="82"/>
      <c r="G38" s="79"/>
      <c r="H38" s="83"/>
      <c r="I38" s="99" t="s">
        <v>47</v>
      </c>
      <c r="J38" s="298">
        <v>0</v>
      </c>
      <c r="K38" s="247">
        <v>0</v>
      </c>
      <c r="M38" s="57">
        <f t="shared" si="7"/>
        <v>0</v>
      </c>
    </row>
    <row r="39" spans="4:22" s="75" customFormat="1">
      <c r="E39" s="80"/>
      <c r="G39" s="85"/>
      <c r="H39" s="86"/>
      <c r="I39" s="99" t="s">
        <v>48</v>
      </c>
      <c r="J39" s="298">
        <v>0</v>
      </c>
      <c r="K39" s="247">
        <v>0</v>
      </c>
      <c r="L39" s="87"/>
      <c r="M39" s="57">
        <f t="shared" si="7"/>
        <v>0</v>
      </c>
    </row>
    <row r="40" spans="4:22">
      <c r="D40" s="75"/>
      <c r="I40" s="99" t="s">
        <v>7</v>
      </c>
      <c r="J40" s="298">
        <v>0</v>
      </c>
      <c r="K40" s="247">
        <v>0</v>
      </c>
      <c r="M40" s="57">
        <f t="shared" si="7"/>
        <v>0</v>
      </c>
    </row>
    <row r="41" spans="4:22">
      <c r="D41" s="75"/>
      <c r="I41" s="73"/>
      <c r="J41" s="299"/>
      <c r="K41" s="257"/>
      <c r="M41" s="57">
        <f t="shared" si="7"/>
        <v>0</v>
      </c>
    </row>
    <row r="42" spans="4:22">
      <c r="D42" s="75"/>
      <c r="I42" s="74" t="s">
        <v>45</v>
      </c>
      <c r="J42" s="298">
        <f>SUM(J36:J40)</f>
        <v>0.21491738346486949</v>
      </c>
      <c r="K42" s="69">
        <f>SUM(K36:K40)</f>
        <v>0.22527609523809522</v>
      </c>
      <c r="M42" s="83">
        <f>K42*3</f>
        <v>0.67582828571428566</v>
      </c>
      <c r="P42" s="83"/>
    </row>
    <row r="43" spans="4:22">
      <c r="I43" s="74" t="s">
        <v>51</v>
      </c>
      <c r="J43" s="298">
        <f>J38</f>
        <v>0</v>
      </c>
      <c r="K43" s="258">
        <f>K38</f>
        <v>0</v>
      </c>
    </row>
    <row r="46" spans="4:22">
      <c r="I46" s="57" t="s">
        <v>368</v>
      </c>
      <c r="J46" s="57"/>
    </row>
    <row r="47" spans="4:22">
      <c r="I47" s="61" t="s">
        <v>49</v>
      </c>
      <c r="J47" s="66" t="s">
        <v>50</v>
      </c>
      <c r="K47" s="61" t="s">
        <v>12</v>
      </c>
    </row>
    <row r="48" spans="4:22">
      <c r="I48" s="99" t="s">
        <v>46</v>
      </c>
      <c r="J48" s="298">
        <f>W7</f>
        <v>7.575757575757576E-3</v>
      </c>
      <c r="K48" s="68">
        <f>X7</f>
        <v>1.1454545454545456E-3</v>
      </c>
      <c r="M48" s="83">
        <f t="shared" ref="M48:M52" si="8">K48*5</f>
        <v>5.7272727272727284E-3</v>
      </c>
    </row>
    <row r="49" spans="9:13">
      <c r="I49" s="99" t="s">
        <v>45</v>
      </c>
      <c r="J49" s="298">
        <f>W5+W9+W10+W14</f>
        <v>0.16329966329966331</v>
      </c>
      <c r="K49" s="68">
        <f>X5+X9+X10+X14</f>
        <v>0.21790303030303032</v>
      </c>
      <c r="M49" s="83">
        <f>K49*5</f>
        <v>1.0895151515151515</v>
      </c>
    </row>
    <row r="50" spans="9:13">
      <c r="I50" s="99" t="s">
        <v>47</v>
      </c>
      <c r="J50" s="298">
        <f>W6</f>
        <v>2.5252525252525252E-2</v>
      </c>
      <c r="K50" s="68">
        <f>X6</f>
        <v>3.8181818181818191E-3</v>
      </c>
      <c r="M50" s="83">
        <f t="shared" si="8"/>
        <v>1.9090909090909096E-2</v>
      </c>
    </row>
    <row r="51" spans="9:13">
      <c r="I51" s="99" t="s">
        <v>48</v>
      </c>
      <c r="J51" s="287">
        <f>W15</f>
        <v>5.0505050505050518E-3</v>
      </c>
      <c r="K51" s="247">
        <f>X15</f>
        <v>1.2981818181818181E-3</v>
      </c>
      <c r="M51" s="83">
        <f t="shared" si="8"/>
        <v>6.4909090909090906E-3</v>
      </c>
    </row>
    <row r="52" spans="9:13">
      <c r="I52" s="99" t="s">
        <v>7</v>
      </c>
      <c r="J52" s="298">
        <f>W19+W8</f>
        <v>5.8080808080808087E-2</v>
      </c>
      <c r="K52" s="68">
        <f>X19+X8</f>
        <v>1.6181818181818183E-2</v>
      </c>
      <c r="M52" s="83">
        <f t="shared" si="8"/>
        <v>8.0909090909090917E-2</v>
      </c>
    </row>
    <row r="53" spans="9:13">
      <c r="I53" s="73"/>
      <c r="J53" s="299"/>
      <c r="K53" s="257"/>
      <c r="M53" s="83"/>
    </row>
    <row r="54" spans="9:13">
      <c r="I54" s="74" t="s">
        <v>45</v>
      </c>
      <c r="J54" s="298">
        <f>SUM(J48:J52)</f>
        <v>0.25925925925925924</v>
      </c>
      <c r="K54" s="69">
        <f>SUM(K48:K52)</f>
        <v>0.24034666666666668</v>
      </c>
      <c r="M54" s="83">
        <f>K54*5</f>
        <v>1.2017333333333333</v>
      </c>
    </row>
    <row r="55" spans="9:13">
      <c r="I55" s="74" t="s">
        <v>51</v>
      </c>
      <c r="J55" s="298">
        <f>J50</f>
        <v>2.5252525252525252E-2</v>
      </c>
      <c r="K55" s="258">
        <f>K50</f>
        <v>3.8181818181818191E-3</v>
      </c>
    </row>
    <row r="58" spans="9:13">
      <c r="I58" s="57" t="s">
        <v>193</v>
      </c>
      <c r="J58" s="57"/>
    </row>
    <row r="59" spans="9:13">
      <c r="I59" s="61" t="s">
        <v>49</v>
      </c>
      <c r="J59" s="66" t="s">
        <v>50</v>
      </c>
      <c r="K59" s="61" t="s">
        <v>12</v>
      </c>
    </row>
    <row r="60" spans="9:13">
      <c r="I60" s="99" t="s">
        <v>46</v>
      </c>
      <c r="J60" s="298">
        <v>0</v>
      </c>
      <c r="K60" s="68">
        <v>0</v>
      </c>
      <c r="M60" s="57">
        <f t="shared" ref="M60:M65" si="9">K60*1</f>
        <v>0</v>
      </c>
    </row>
    <row r="61" spans="9:13">
      <c r="I61" s="99" t="s">
        <v>45</v>
      </c>
      <c r="J61" s="298">
        <f>W5</f>
        <v>9.2592592592592587E-2</v>
      </c>
      <c r="K61" s="68">
        <f>X5</f>
        <v>0.20186666666666667</v>
      </c>
      <c r="M61" s="83">
        <f>K61*1</f>
        <v>0.20186666666666667</v>
      </c>
    </row>
    <row r="62" spans="9:13">
      <c r="I62" s="99" t="s">
        <v>47</v>
      </c>
      <c r="J62" s="298">
        <v>0</v>
      </c>
      <c r="K62" s="68">
        <v>0</v>
      </c>
      <c r="M62" s="57">
        <f t="shared" si="9"/>
        <v>0</v>
      </c>
    </row>
    <row r="63" spans="9:13">
      <c r="I63" s="99" t="s">
        <v>48</v>
      </c>
      <c r="J63" s="298">
        <v>0</v>
      </c>
      <c r="K63" s="247">
        <v>0</v>
      </c>
      <c r="M63" s="57">
        <f t="shared" si="9"/>
        <v>0</v>
      </c>
    </row>
    <row r="64" spans="9:13">
      <c r="I64" s="99" t="s">
        <v>7</v>
      </c>
      <c r="J64" s="298">
        <v>0</v>
      </c>
      <c r="K64" s="68">
        <v>0</v>
      </c>
      <c r="M64" s="57">
        <f t="shared" si="9"/>
        <v>0</v>
      </c>
    </row>
    <row r="65" spans="9:13">
      <c r="I65" s="73"/>
      <c r="J65" s="299"/>
      <c r="K65" s="257"/>
      <c r="M65" s="57">
        <f t="shared" si="9"/>
        <v>0</v>
      </c>
    </row>
    <row r="66" spans="9:13">
      <c r="I66" s="74" t="s">
        <v>45</v>
      </c>
      <c r="J66" s="298">
        <f>SUM(J60:J64)</f>
        <v>9.2592592592592587E-2</v>
      </c>
      <c r="K66" s="69">
        <f>SUM(K60:K64)</f>
        <v>0.20186666666666667</v>
      </c>
      <c r="M66" s="83">
        <f>K66*1</f>
        <v>0.20186666666666667</v>
      </c>
    </row>
    <row r="67" spans="9:13">
      <c r="I67" s="74" t="s">
        <v>51</v>
      </c>
      <c r="J67" s="298">
        <f>J62</f>
        <v>0</v>
      </c>
      <c r="K67" s="258">
        <f>K62</f>
        <v>0</v>
      </c>
    </row>
    <row r="70" spans="9:13">
      <c r="I70" s="57" t="s">
        <v>369</v>
      </c>
      <c r="J70" s="57"/>
    </row>
    <row r="71" spans="9:13">
      <c r="I71" s="61" t="s">
        <v>49</v>
      </c>
      <c r="J71" s="66" t="s">
        <v>50</v>
      </c>
      <c r="K71" s="61" t="s">
        <v>12</v>
      </c>
    </row>
    <row r="72" spans="9:13">
      <c r="I72" s="99" t="s">
        <v>46</v>
      </c>
      <c r="J72" s="298">
        <v>0</v>
      </c>
      <c r="K72" s="68">
        <v>0</v>
      </c>
      <c r="M72" s="57">
        <f t="shared" ref="M72:M77" si="10">K72*2</f>
        <v>0</v>
      </c>
    </row>
    <row r="73" spans="9:13">
      <c r="I73" s="99" t="s">
        <v>45</v>
      </c>
      <c r="J73" s="298">
        <f>W5+W11</f>
        <v>9.3135935861345692E-2</v>
      </c>
      <c r="K73" s="68">
        <f>X5+X11</f>
        <v>0.20446567916666666</v>
      </c>
      <c r="M73" s="83">
        <f>K73*2</f>
        <v>0.40893135833333333</v>
      </c>
    </row>
    <row r="74" spans="9:13">
      <c r="I74" s="99" t="s">
        <v>47</v>
      </c>
      <c r="J74" s="298">
        <v>0</v>
      </c>
      <c r="K74" s="68">
        <v>0</v>
      </c>
      <c r="M74" s="57">
        <f t="shared" si="10"/>
        <v>0</v>
      </c>
    </row>
    <row r="75" spans="9:13">
      <c r="I75" s="99" t="s">
        <v>48</v>
      </c>
      <c r="J75" s="298">
        <v>0</v>
      </c>
      <c r="K75" s="247">
        <v>0</v>
      </c>
      <c r="M75" s="57">
        <f t="shared" si="10"/>
        <v>0</v>
      </c>
    </row>
    <row r="76" spans="9:13">
      <c r="I76" s="99" t="s">
        <v>7</v>
      </c>
      <c r="J76" s="298">
        <v>0</v>
      </c>
      <c r="K76" s="68">
        <v>0</v>
      </c>
      <c r="M76" s="57">
        <f t="shared" si="10"/>
        <v>0</v>
      </c>
    </row>
    <row r="77" spans="9:13">
      <c r="I77" s="73"/>
      <c r="J77" s="299"/>
      <c r="K77" s="257"/>
      <c r="M77" s="57">
        <f t="shared" si="10"/>
        <v>0</v>
      </c>
    </row>
    <row r="78" spans="9:13">
      <c r="I78" s="74" t="s">
        <v>45</v>
      </c>
      <c r="J78" s="298">
        <f>SUM(J72:J76)</f>
        <v>9.3135935861345692E-2</v>
      </c>
      <c r="K78" s="69">
        <f>SUM(K72:K76)</f>
        <v>0.20446567916666666</v>
      </c>
      <c r="M78" s="83">
        <f>K78*2</f>
        <v>0.40893135833333333</v>
      </c>
    </row>
    <row r="79" spans="9:13">
      <c r="I79" s="74" t="s">
        <v>51</v>
      </c>
      <c r="J79" s="298">
        <f>J74</f>
        <v>0</v>
      </c>
      <c r="K79" s="258">
        <f>K74</f>
        <v>0</v>
      </c>
    </row>
  </sheetData>
  <autoFilter ref="A4:S6"/>
  <mergeCells count="4">
    <mergeCell ref="G1:I1"/>
    <mergeCell ref="A1:A3"/>
    <mergeCell ref="N1:O2"/>
    <mergeCell ref="P1:X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Normal="100" workbookViewId="0">
      <selection activeCell="C50" sqref="C50"/>
    </sheetView>
  </sheetViews>
  <sheetFormatPr defaultRowHeight="14.4"/>
  <cols>
    <col min="1" max="1" width="25.88671875" style="115" customWidth="1"/>
    <col min="2" max="2" width="26.44140625" style="115" customWidth="1"/>
    <col min="3" max="3" width="10.88671875" style="115" customWidth="1"/>
    <col min="4" max="4" width="13" style="115" customWidth="1"/>
    <col min="5" max="8" width="15.5546875" style="115" customWidth="1"/>
    <col min="9" max="9" width="8.5546875" style="114" customWidth="1"/>
    <col min="10" max="10" width="24.6640625" style="114" customWidth="1"/>
    <col min="11" max="11" width="14.5546875" style="114" customWidth="1"/>
    <col min="12" max="13" width="13.6640625" style="114" customWidth="1"/>
    <col min="14" max="16" width="15.109375" style="114" customWidth="1"/>
    <col min="17" max="17" width="15.109375" style="115" customWidth="1"/>
    <col min="18" max="16384" width="8.88671875" style="115"/>
  </cols>
  <sheetData>
    <row r="1" spans="1:16">
      <c r="A1" s="110"/>
      <c r="B1" s="111"/>
      <c r="C1" s="112"/>
      <c r="D1" s="472" t="str">
        <f>[2]Algandmed!C2</f>
        <v>Maagaas</v>
      </c>
      <c r="E1" s="472"/>
      <c r="F1" s="473"/>
      <c r="G1" s="223"/>
      <c r="H1" s="223"/>
      <c r="I1" s="113"/>
      <c r="J1" s="474" t="s">
        <v>171</v>
      </c>
      <c r="K1" s="472"/>
      <c r="L1" s="473"/>
      <c r="M1" s="113"/>
    </row>
    <row r="2" spans="1:16">
      <c r="A2" s="171"/>
      <c r="B2" s="212"/>
      <c r="C2" s="170" t="s">
        <v>92</v>
      </c>
      <c r="D2" s="475" t="s">
        <v>89</v>
      </c>
      <c r="E2" s="116">
        <f>E5*E6</f>
        <v>50400</v>
      </c>
      <c r="F2" s="117" t="s">
        <v>90</v>
      </c>
      <c r="G2" s="118"/>
      <c r="H2" s="118"/>
      <c r="I2" s="118"/>
      <c r="J2" s="478" t="s">
        <v>89</v>
      </c>
      <c r="K2" s="116">
        <f>K5*K6</f>
        <v>50392.079999999994</v>
      </c>
      <c r="L2" s="117" t="s">
        <v>90</v>
      </c>
      <c r="M2" s="118"/>
    </row>
    <row r="3" spans="1:16">
      <c r="A3" s="171"/>
      <c r="B3" s="213"/>
      <c r="C3" s="170" t="s">
        <v>172</v>
      </c>
      <c r="D3" s="476"/>
      <c r="E3" s="116"/>
      <c r="F3" s="117"/>
      <c r="G3" s="118"/>
      <c r="H3" s="118"/>
      <c r="I3" s="118"/>
      <c r="J3" s="478"/>
      <c r="K3" s="116"/>
      <c r="L3" s="117"/>
      <c r="M3" s="118"/>
    </row>
    <row r="4" spans="1:16">
      <c r="A4" s="479" t="s">
        <v>91</v>
      </c>
      <c r="B4" s="479"/>
      <c r="C4" s="479"/>
      <c r="D4" s="476"/>
      <c r="E4" s="214">
        <f>Kogused!E22</f>
        <v>2.3255555555555554</v>
      </c>
      <c r="F4" s="117" t="s">
        <v>92</v>
      </c>
      <c r="G4" s="118"/>
      <c r="H4" s="118"/>
      <c r="I4" s="118"/>
      <c r="J4" s="478"/>
      <c r="K4" s="214">
        <f>Kogused!E23</f>
        <v>2.4623529411764706</v>
      </c>
      <c r="L4" s="117" t="s">
        <v>92</v>
      </c>
      <c r="M4" s="118"/>
    </row>
    <row r="5" spans="1:16">
      <c r="A5" s="480" t="s">
        <v>93</v>
      </c>
      <c r="B5" s="480"/>
      <c r="C5" s="480"/>
      <c r="D5" s="476"/>
      <c r="E5" s="169">
        <f>Kogused!C14</f>
        <v>1500</v>
      </c>
      <c r="F5" s="117" t="s">
        <v>94</v>
      </c>
      <c r="G5" s="118"/>
      <c r="H5" s="118"/>
      <c r="I5" s="118"/>
      <c r="J5" s="478"/>
      <c r="K5" s="169">
        <f>Kogused!C15</f>
        <v>3043</v>
      </c>
      <c r="L5" s="117" t="s">
        <v>12</v>
      </c>
      <c r="M5" s="118"/>
    </row>
    <row r="6" spans="1:16">
      <c r="A6" s="481" t="s">
        <v>95</v>
      </c>
      <c r="B6" s="481"/>
      <c r="C6" s="482"/>
      <c r="D6" s="477"/>
      <c r="E6" s="120">
        <f>[2]Algandmed!M2</f>
        <v>33.6</v>
      </c>
      <c r="F6" s="119" t="s">
        <v>96</v>
      </c>
      <c r="G6" s="121"/>
      <c r="H6" s="121"/>
      <c r="I6" s="121"/>
      <c r="J6" s="478"/>
      <c r="K6" s="120">
        <v>16.559999999999999</v>
      </c>
      <c r="L6" s="119" t="s">
        <v>96</v>
      </c>
      <c r="M6" s="121"/>
      <c r="N6" s="483" t="s">
        <v>185</v>
      </c>
      <c r="O6" s="484"/>
    </row>
    <row r="7" spans="1:16" ht="43.2">
      <c r="A7" s="122" t="s">
        <v>97</v>
      </c>
      <c r="B7" s="123" t="s">
        <v>98</v>
      </c>
      <c r="C7" s="123" t="s">
        <v>99</v>
      </c>
      <c r="D7" s="117" t="s">
        <v>100</v>
      </c>
      <c r="E7" s="117" t="s">
        <v>101</v>
      </c>
      <c r="F7" s="117" t="s">
        <v>102</v>
      </c>
      <c r="G7" s="118"/>
      <c r="H7" s="118"/>
      <c r="I7" s="118"/>
      <c r="J7" s="117" t="s">
        <v>100</v>
      </c>
      <c r="K7" s="117" t="s">
        <v>101</v>
      </c>
      <c r="L7" s="117" t="s">
        <v>102</v>
      </c>
      <c r="M7" s="118"/>
      <c r="N7" s="117" t="s">
        <v>101</v>
      </c>
      <c r="O7" s="117" t="s">
        <v>102</v>
      </c>
      <c r="P7" s="124"/>
    </row>
    <row r="8" spans="1:16">
      <c r="A8" s="193" t="s">
        <v>103</v>
      </c>
      <c r="B8" s="194" t="s">
        <v>104</v>
      </c>
      <c r="C8" s="117" t="s">
        <v>105</v>
      </c>
      <c r="D8" s="127">
        <v>42.8</v>
      </c>
      <c r="E8" s="128">
        <f>$E$4*D8/1000</f>
        <v>9.9533777777777763E-2</v>
      </c>
      <c r="F8" s="129">
        <f t="shared" ref="F8:F14" si="0">D8*$E$2/1000000</f>
        <v>2.1571199999999999</v>
      </c>
      <c r="G8" s="130"/>
      <c r="H8" s="130"/>
      <c r="I8" s="130"/>
      <c r="J8" s="127">
        <v>210</v>
      </c>
      <c r="K8" s="128">
        <f>$K$4*J8/1000</f>
        <v>0.51709411764705882</v>
      </c>
      <c r="L8" s="129">
        <f>J8*$K$2/1000000</f>
        <v>10.582336799999998</v>
      </c>
      <c r="M8" s="129"/>
      <c r="N8" s="191">
        <f>IF(E8&lt;K8,K8,E8)</f>
        <v>0.51709411764705882</v>
      </c>
      <c r="O8" s="192">
        <f>IF(F8&lt;L8,L8,F8)</f>
        <v>10.582336799999998</v>
      </c>
      <c r="P8" s="131"/>
    </row>
    <row r="9" spans="1:16">
      <c r="A9" s="193" t="s">
        <v>106</v>
      </c>
      <c r="B9" s="194" t="s">
        <v>107</v>
      </c>
      <c r="C9" s="117" t="s">
        <v>105</v>
      </c>
      <c r="D9" s="127">
        <v>30</v>
      </c>
      <c r="E9" s="128">
        <f t="shared" ref="E9:E14" si="1">$E$4*D9/1000</f>
        <v>6.9766666666666671E-2</v>
      </c>
      <c r="F9" s="129">
        <f t="shared" si="0"/>
        <v>1.512</v>
      </c>
      <c r="G9" s="130"/>
      <c r="H9" s="130"/>
      <c r="I9" s="130"/>
      <c r="J9" s="127">
        <v>1200</v>
      </c>
      <c r="K9" s="128">
        <f t="shared" ref="K9:K30" si="2">$K$4*J9/1000</f>
        <v>2.9548235294117648</v>
      </c>
      <c r="L9" s="129">
        <f t="shared" ref="L9:L30" si="3">J9*$K$2/1000000</f>
        <v>60.47049599999999</v>
      </c>
      <c r="M9" s="129"/>
      <c r="N9" s="191">
        <f t="shared" ref="N9:N30" si="4">IF(E9&lt;K9,K9,E9)</f>
        <v>2.9548235294117648</v>
      </c>
      <c r="O9" s="192">
        <f t="shared" ref="O9:O32" si="5">IF(F9&lt;L9,L9,F9)</f>
        <v>60.47049599999999</v>
      </c>
      <c r="P9" s="131"/>
    </row>
    <row r="10" spans="1:16">
      <c r="A10" s="195" t="s">
        <v>108</v>
      </c>
      <c r="B10" s="194" t="s">
        <v>109</v>
      </c>
      <c r="C10" s="117" t="s">
        <v>105</v>
      </c>
      <c r="D10" s="127">
        <v>2</v>
      </c>
      <c r="E10" s="128">
        <f t="shared" si="1"/>
        <v>4.6511111111111111E-3</v>
      </c>
      <c r="F10" s="129">
        <f t="shared" si="0"/>
        <v>0.1008</v>
      </c>
      <c r="G10" s="130"/>
      <c r="H10" s="130"/>
      <c r="I10" s="130"/>
      <c r="J10" s="127">
        <v>17</v>
      </c>
      <c r="K10" s="128">
        <f t="shared" si="2"/>
        <v>4.1860000000000001E-2</v>
      </c>
      <c r="L10" s="129">
        <f t="shared" si="3"/>
        <v>0.85666535999999982</v>
      </c>
      <c r="M10" s="129"/>
      <c r="N10" s="191">
        <f t="shared" si="4"/>
        <v>4.1860000000000001E-2</v>
      </c>
      <c r="O10" s="192">
        <f t="shared" si="5"/>
        <v>0.85666535999999982</v>
      </c>
      <c r="P10" s="131"/>
    </row>
    <row r="11" spans="1:16" s="132" customFormat="1">
      <c r="A11" s="196" t="s">
        <v>110</v>
      </c>
      <c r="B11" s="194" t="s">
        <v>111</v>
      </c>
      <c r="C11" s="117" t="s">
        <v>105</v>
      </c>
      <c r="D11" s="127">
        <v>0.51</v>
      </c>
      <c r="E11" s="128">
        <f t="shared" si="1"/>
        <v>1.1860333333333333E-3</v>
      </c>
      <c r="F11" s="129">
        <f>D11*$E$2/1000000</f>
        <v>2.5704000000000001E-2</v>
      </c>
      <c r="G11" s="130"/>
      <c r="H11" s="130"/>
      <c r="I11" s="130"/>
      <c r="J11" s="127">
        <v>11</v>
      </c>
      <c r="K11" s="128">
        <f>K4*J11/1000</f>
        <v>2.7085882352941175E-2</v>
      </c>
      <c r="L11" s="129">
        <f>J11*K2/1000000</f>
        <v>0.5543128799999999</v>
      </c>
      <c r="M11" s="129"/>
      <c r="N11" s="191">
        <f t="shared" si="4"/>
        <v>2.7085882352941175E-2</v>
      </c>
      <c r="O11" s="192">
        <f t="shared" si="5"/>
        <v>0.5543128799999999</v>
      </c>
      <c r="P11" s="131"/>
    </row>
    <row r="12" spans="1:16">
      <c r="A12" s="233" t="s">
        <v>72</v>
      </c>
      <c r="B12" s="234" t="s">
        <v>73</v>
      </c>
      <c r="C12" s="141" t="s">
        <v>105</v>
      </c>
      <c r="D12" s="142">
        <v>0.45</v>
      </c>
      <c r="E12" s="128">
        <f t="shared" si="1"/>
        <v>1.0464999999999999E-3</v>
      </c>
      <c r="F12" s="135">
        <f t="shared" si="0"/>
        <v>2.2679999999999999E-2</v>
      </c>
      <c r="G12" s="235"/>
      <c r="H12" s="235"/>
      <c r="I12" s="235"/>
      <c r="J12" s="142">
        <v>145</v>
      </c>
      <c r="K12" s="128">
        <f t="shared" si="2"/>
        <v>0.35704117647058825</v>
      </c>
      <c r="L12" s="135">
        <f t="shared" si="3"/>
        <v>7.3068515999999999</v>
      </c>
      <c r="M12" s="135"/>
      <c r="N12" s="236">
        <f>O42</f>
        <v>0.29055764705882353</v>
      </c>
      <c r="O12" s="237">
        <f>Q42</f>
        <v>5.9462654399999995</v>
      </c>
      <c r="P12" s="131"/>
    </row>
    <row r="13" spans="1:16">
      <c r="A13" s="197" t="s">
        <v>112</v>
      </c>
      <c r="B13" s="234" t="s">
        <v>113</v>
      </c>
      <c r="C13" s="141" t="s">
        <v>105</v>
      </c>
      <c r="D13" s="142">
        <v>0.45</v>
      </c>
      <c r="E13" s="128">
        <f t="shared" si="1"/>
        <v>1.0464999999999999E-3</v>
      </c>
      <c r="F13" s="135">
        <f t="shared" si="0"/>
        <v>2.2679999999999999E-2</v>
      </c>
      <c r="G13" s="235"/>
      <c r="H13" s="235"/>
      <c r="I13" s="235"/>
      <c r="J13" s="142">
        <v>118</v>
      </c>
      <c r="K13" s="128">
        <f t="shared" si="2"/>
        <v>0.29055764705882353</v>
      </c>
      <c r="L13" s="135">
        <f t="shared" si="3"/>
        <v>5.9462654399999995</v>
      </c>
      <c r="M13" s="135"/>
      <c r="N13" s="236">
        <f>O43</f>
        <v>0.29055764705882353</v>
      </c>
      <c r="O13" s="237">
        <f t="shared" ref="O13:O14" si="6">Q43</f>
        <v>5.9462654399999995</v>
      </c>
      <c r="P13" s="131"/>
    </row>
    <row r="14" spans="1:16">
      <c r="A14" s="197" t="s">
        <v>114</v>
      </c>
      <c r="B14" s="234" t="s">
        <v>115</v>
      </c>
      <c r="C14" s="141" t="s">
        <v>105</v>
      </c>
      <c r="D14" s="142">
        <v>0.45</v>
      </c>
      <c r="E14" s="128">
        <f t="shared" si="1"/>
        <v>1.0464999999999999E-3</v>
      </c>
      <c r="F14" s="135">
        <f t="shared" si="0"/>
        <v>2.2679999999999999E-2</v>
      </c>
      <c r="G14" s="235"/>
      <c r="H14" s="235"/>
      <c r="I14" s="235"/>
      <c r="J14" s="142">
        <v>115</v>
      </c>
      <c r="K14" s="128">
        <f t="shared" si="2"/>
        <v>0.28317058823529412</v>
      </c>
      <c r="L14" s="135">
        <f t="shared" si="3"/>
        <v>5.7950891999999996</v>
      </c>
      <c r="M14" s="135"/>
      <c r="N14" s="236">
        <f>O44</f>
        <v>0.28317058823529412</v>
      </c>
      <c r="O14" s="237">
        <f t="shared" si="6"/>
        <v>5.7950891999999996</v>
      </c>
      <c r="P14" s="131"/>
    </row>
    <row r="15" spans="1:16">
      <c r="A15" s="133" t="s">
        <v>116</v>
      </c>
      <c r="B15" s="126" t="s">
        <v>117</v>
      </c>
      <c r="C15" s="117" t="s">
        <v>118</v>
      </c>
      <c r="D15" s="134">
        <v>5.3999999999999999E-2</v>
      </c>
      <c r="E15" s="135">
        <f>E14*F15/100</f>
        <v>1.2816694799999998E-10</v>
      </c>
      <c r="F15" s="129">
        <f>F14*D15/100</f>
        <v>1.2247199999999999E-5</v>
      </c>
      <c r="G15" s="130"/>
      <c r="H15" s="130"/>
      <c r="I15" s="130"/>
      <c r="J15" s="178">
        <v>15</v>
      </c>
      <c r="K15" s="128">
        <f>$K$4*K14/1000</f>
        <v>6.9726593079584771E-4</v>
      </c>
      <c r="L15" s="129">
        <f>J15*$L$14/1000000</f>
        <v>8.6926337999999992E-5</v>
      </c>
      <c r="M15" s="130"/>
      <c r="N15" s="184">
        <f t="shared" si="4"/>
        <v>6.9726593079584771E-4</v>
      </c>
      <c r="O15" s="183">
        <f t="shared" si="5"/>
        <v>8.6926337999999992E-5</v>
      </c>
      <c r="P15" s="131"/>
    </row>
    <row r="16" spans="1:16">
      <c r="A16" s="136" t="s">
        <v>119</v>
      </c>
      <c r="B16" s="137" t="s">
        <v>120</v>
      </c>
      <c r="C16" s="136" t="s">
        <v>121</v>
      </c>
      <c r="D16" s="138">
        <v>1.5E-3</v>
      </c>
      <c r="E16" s="128">
        <f t="shared" ref="E16:E30" si="7">$E$4*D16/1000</f>
        <v>3.4883333333333331E-6</v>
      </c>
      <c r="F16" s="129">
        <f t="shared" ref="F16:F30" si="8">D16*$E$2/1000000</f>
        <v>7.5600000000000008E-5</v>
      </c>
      <c r="G16" s="130"/>
      <c r="H16" s="130"/>
      <c r="I16" s="139"/>
      <c r="J16" s="138">
        <v>27</v>
      </c>
      <c r="K16" s="128">
        <f t="shared" si="2"/>
        <v>6.6483529411764705E-2</v>
      </c>
      <c r="L16" s="129">
        <f t="shared" si="3"/>
        <v>1.36058616</v>
      </c>
      <c r="M16" s="139"/>
      <c r="N16" s="184">
        <f t="shared" si="4"/>
        <v>6.6483529411764705E-2</v>
      </c>
      <c r="O16" s="183">
        <f t="shared" si="5"/>
        <v>1.36058616</v>
      </c>
      <c r="P16" s="131"/>
    </row>
    <row r="17" spans="1:16">
      <c r="A17" s="136" t="s">
        <v>122</v>
      </c>
      <c r="B17" s="140" t="s">
        <v>123</v>
      </c>
      <c r="C17" s="141" t="s">
        <v>121</v>
      </c>
      <c r="D17" s="142">
        <v>2.5000000000000001E-4</v>
      </c>
      <c r="E17" s="128">
        <f t="shared" si="7"/>
        <v>5.8138888888888885E-7</v>
      </c>
      <c r="F17" s="129">
        <f t="shared" si="8"/>
        <v>1.26E-5</v>
      </c>
      <c r="G17" s="130"/>
      <c r="H17" s="130"/>
      <c r="I17" s="139"/>
      <c r="J17" s="142">
        <v>13</v>
      </c>
      <c r="K17" s="128">
        <f t="shared" si="2"/>
        <v>3.2010588235294117E-2</v>
      </c>
      <c r="L17" s="129">
        <f t="shared" si="3"/>
        <v>0.65509703999999991</v>
      </c>
      <c r="M17" s="139"/>
      <c r="N17" s="184">
        <f t="shared" si="4"/>
        <v>3.2010588235294117E-2</v>
      </c>
      <c r="O17" s="183">
        <f t="shared" si="5"/>
        <v>0.65509703999999991</v>
      </c>
      <c r="P17" s="131"/>
    </row>
    <row r="18" spans="1:16">
      <c r="A18" s="136" t="s">
        <v>124</v>
      </c>
      <c r="B18" s="140" t="s">
        <v>125</v>
      </c>
      <c r="C18" s="141" t="s">
        <v>121</v>
      </c>
      <c r="D18" s="142">
        <v>0.1</v>
      </c>
      <c r="E18" s="128">
        <f t="shared" si="7"/>
        <v>2.3255555555555554E-4</v>
      </c>
      <c r="F18" s="129">
        <f t="shared" si="8"/>
        <v>5.0400000000000002E-3</v>
      </c>
      <c r="G18" s="130"/>
      <c r="H18" s="130"/>
      <c r="I18" s="139"/>
      <c r="J18" s="142">
        <v>0.56000000000000005</v>
      </c>
      <c r="K18" s="128">
        <f t="shared" si="2"/>
        <v>1.3789176470588235E-3</v>
      </c>
      <c r="L18" s="129">
        <f t="shared" si="3"/>
        <v>2.8219564799999999E-2</v>
      </c>
      <c r="M18" s="139"/>
      <c r="N18" s="184">
        <f t="shared" si="4"/>
        <v>1.3789176470588235E-3</v>
      </c>
      <c r="O18" s="183">
        <f t="shared" si="5"/>
        <v>2.8219564799999999E-2</v>
      </c>
      <c r="P18" s="131"/>
    </row>
    <row r="19" spans="1:16">
      <c r="A19" s="136" t="s">
        <v>126</v>
      </c>
      <c r="B19" s="140" t="s">
        <v>127</v>
      </c>
      <c r="C19" s="141" t="s">
        <v>121</v>
      </c>
      <c r="D19" s="142">
        <v>0.12</v>
      </c>
      <c r="E19" s="128">
        <f t="shared" si="7"/>
        <v>2.7906666666666666E-4</v>
      </c>
      <c r="F19" s="129">
        <f t="shared" si="8"/>
        <v>6.0480000000000004E-3</v>
      </c>
      <c r="G19" s="130"/>
      <c r="H19" s="130"/>
      <c r="I19" s="139"/>
      <c r="J19" s="142">
        <v>1</v>
      </c>
      <c r="K19" s="128">
        <f t="shared" si="2"/>
        <v>2.4623529411764706E-3</v>
      </c>
      <c r="L19" s="129">
        <f t="shared" si="3"/>
        <v>5.0392079999999992E-2</v>
      </c>
      <c r="M19" s="139"/>
      <c r="N19" s="184">
        <f t="shared" si="4"/>
        <v>2.4623529411764706E-3</v>
      </c>
      <c r="O19" s="183">
        <f t="shared" si="5"/>
        <v>5.0392079999999992E-2</v>
      </c>
      <c r="P19" s="131"/>
    </row>
    <row r="20" spans="1:16">
      <c r="A20" s="136" t="s">
        <v>128</v>
      </c>
      <c r="B20" s="140" t="s">
        <v>129</v>
      </c>
      <c r="C20" s="141" t="s">
        <v>121</v>
      </c>
      <c r="D20" s="142">
        <v>7.6000000000000004E-4</v>
      </c>
      <c r="E20" s="128">
        <f t="shared" si="7"/>
        <v>1.7674222222222222E-6</v>
      </c>
      <c r="F20" s="129">
        <f t="shared" si="8"/>
        <v>3.8304000000000005E-5</v>
      </c>
      <c r="G20" s="130"/>
      <c r="H20" s="130"/>
      <c r="I20" s="139"/>
      <c r="J20" s="142">
        <v>23</v>
      </c>
      <c r="K20" s="128">
        <f t="shared" si="2"/>
        <v>5.6634117647058821E-2</v>
      </c>
      <c r="L20" s="129">
        <f t="shared" si="3"/>
        <v>1.1590178399999997</v>
      </c>
      <c r="M20" s="139"/>
      <c r="N20" s="184">
        <f t="shared" si="4"/>
        <v>5.6634117647058821E-2</v>
      </c>
      <c r="O20" s="183">
        <f t="shared" si="5"/>
        <v>1.1590178399999997</v>
      </c>
      <c r="P20" s="131"/>
    </row>
    <row r="21" spans="1:16">
      <c r="A21" s="136" t="s">
        <v>130</v>
      </c>
      <c r="B21" s="140" t="s">
        <v>131</v>
      </c>
      <c r="C21" s="141" t="s">
        <v>121</v>
      </c>
      <c r="D21" s="142">
        <v>7.6000000000000004E-4</v>
      </c>
      <c r="E21" s="128">
        <f t="shared" si="7"/>
        <v>1.7674222222222222E-6</v>
      </c>
      <c r="F21" s="129">
        <f t="shared" si="8"/>
        <v>3.8304000000000005E-5</v>
      </c>
      <c r="G21" s="130"/>
      <c r="H21" s="130"/>
      <c r="I21" s="139"/>
      <c r="J21" s="142">
        <v>20</v>
      </c>
      <c r="K21" s="128">
        <f t="shared" si="2"/>
        <v>4.9247058823529415E-2</v>
      </c>
      <c r="L21" s="129">
        <f t="shared" si="3"/>
        <v>1.0078415999999999</v>
      </c>
      <c r="M21" s="139"/>
      <c r="N21" s="184">
        <f t="shared" si="4"/>
        <v>4.9247058823529415E-2</v>
      </c>
      <c r="O21" s="183">
        <f t="shared" si="5"/>
        <v>1.0078415999999999</v>
      </c>
      <c r="P21" s="131"/>
    </row>
    <row r="22" spans="1:16">
      <c r="A22" s="136" t="s">
        <v>132</v>
      </c>
      <c r="B22" s="137" t="s">
        <v>133</v>
      </c>
      <c r="C22" s="136" t="s">
        <v>121</v>
      </c>
      <c r="D22" s="138">
        <v>5.1000000000000004E-4</v>
      </c>
      <c r="E22" s="128">
        <f t="shared" si="7"/>
        <v>1.1860333333333334E-6</v>
      </c>
      <c r="F22" s="129">
        <f t="shared" si="8"/>
        <v>2.5704E-5</v>
      </c>
      <c r="G22" s="130"/>
      <c r="H22" s="130"/>
      <c r="I22" s="139"/>
      <c r="J22" s="138">
        <v>20</v>
      </c>
      <c r="K22" s="128">
        <f t="shared" si="2"/>
        <v>4.9247058823529415E-2</v>
      </c>
      <c r="L22" s="129">
        <f t="shared" si="3"/>
        <v>1.0078415999999999</v>
      </c>
      <c r="M22" s="139"/>
      <c r="N22" s="184">
        <f t="shared" si="4"/>
        <v>4.9247058823529415E-2</v>
      </c>
      <c r="O22" s="183">
        <f t="shared" si="5"/>
        <v>1.0078415999999999</v>
      </c>
      <c r="P22" s="131"/>
    </row>
    <row r="23" spans="1:16">
      <c r="A23" s="136" t="s">
        <v>134</v>
      </c>
      <c r="B23" s="137" t="s">
        <v>135</v>
      </c>
      <c r="C23" s="136" t="s">
        <v>121</v>
      </c>
      <c r="D23" s="138">
        <v>5.1000000000000004E-4</v>
      </c>
      <c r="E23" s="128">
        <f t="shared" si="7"/>
        <v>1.1860333333333334E-6</v>
      </c>
      <c r="F23" s="129">
        <f t="shared" si="8"/>
        <v>2.5704E-5</v>
      </c>
      <c r="G23" s="130"/>
      <c r="H23" s="130"/>
      <c r="I23" s="139"/>
      <c r="J23" s="138">
        <v>0.5</v>
      </c>
      <c r="K23" s="128">
        <f t="shared" si="2"/>
        <v>1.2311764705882353E-3</v>
      </c>
      <c r="L23" s="129">
        <f t="shared" si="3"/>
        <v>2.5196039999999996E-2</v>
      </c>
      <c r="M23" s="139"/>
      <c r="N23" s="184">
        <f t="shared" si="4"/>
        <v>1.2311764705882353E-3</v>
      </c>
      <c r="O23" s="183">
        <f t="shared" si="5"/>
        <v>2.5196039999999996E-2</v>
      </c>
      <c r="P23" s="131"/>
    </row>
    <row r="24" spans="1:16">
      <c r="A24" s="197" t="s">
        <v>136</v>
      </c>
      <c r="B24" s="198" t="s">
        <v>137</v>
      </c>
      <c r="C24" s="141" t="s">
        <v>121</v>
      </c>
      <c r="D24" s="142">
        <v>1.4999999999999999E-2</v>
      </c>
      <c r="E24" s="128">
        <f t="shared" si="7"/>
        <v>3.4883333333333332E-5</v>
      </c>
      <c r="F24" s="129">
        <f t="shared" si="8"/>
        <v>7.5600000000000005E-4</v>
      </c>
      <c r="G24" s="130"/>
      <c r="H24" s="130"/>
      <c r="I24" s="139"/>
      <c r="J24" s="142">
        <v>512</v>
      </c>
      <c r="K24" s="128">
        <f t="shared" si="2"/>
        <v>1.260724705882353</v>
      </c>
      <c r="L24" s="129">
        <f t="shared" si="3"/>
        <v>25.800744959999996</v>
      </c>
      <c r="M24" s="178"/>
      <c r="N24" s="191">
        <f t="shared" si="4"/>
        <v>1.260724705882353</v>
      </c>
      <c r="O24" s="192">
        <f t="shared" si="5"/>
        <v>25.800744959999996</v>
      </c>
      <c r="P24" s="131"/>
    </row>
    <row r="25" spans="1:16">
      <c r="A25" s="199" t="s">
        <v>138</v>
      </c>
      <c r="B25" s="200" t="s">
        <v>139</v>
      </c>
      <c r="C25" s="143" t="s">
        <v>105</v>
      </c>
      <c r="D25" s="142">
        <v>0</v>
      </c>
      <c r="E25" s="128">
        <f t="shared" si="7"/>
        <v>0</v>
      </c>
      <c r="F25" s="129">
        <f t="shared" si="8"/>
        <v>0</v>
      </c>
      <c r="G25" s="130"/>
      <c r="H25" s="130"/>
      <c r="I25" s="139"/>
      <c r="J25" s="142">
        <v>37</v>
      </c>
      <c r="K25" s="128">
        <f t="shared" si="2"/>
        <v>9.1107058823529416E-2</v>
      </c>
      <c r="L25" s="129">
        <f t="shared" si="3"/>
        <v>1.8645069599999997</v>
      </c>
      <c r="M25" s="178"/>
      <c r="N25" s="191">
        <f t="shared" si="4"/>
        <v>9.1107058823529416E-2</v>
      </c>
      <c r="O25" s="192">
        <f t="shared" si="5"/>
        <v>1.8645069599999997</v>
      </c>
      <c r="P25" s="131"/>
    </row>
    <row r="26" spans="1:16" ht="43.2">
      <c r="A26" s="136"/>
      <c r="B26" s="140" t="s">
        <v>140</v>
      </c>
      <c r="C26" s="136" t="s">
        <v>141</v>
      </c>
      <c r="D26" s="142">
        <v>0.5</v>
      </c>
      <c r="E26" s="128">
        <f t="shared" si="7"/>
        <v>1.1627777777777778E-3</v>
      </c>
      <c r="F26" s="129">
        <f t="shared" si="8"/>
        <v>2.52E-2</v>
      </c>
      <c r="G26" s="130"/>
      <c r="H26" s="130"/>
      <c r="I26" s="139"/>
      <c r="J26" s="142">
        <v>100</v>
      </c>
      <c r="K26" s="128">
        <f t="shared" si="2"/>
        <v>0.24623529411764708</v>
      </c>
      <c r="L26" s="129">
        <f t="shared" si="3"/>
        <v>5.0392079999999995</v>
      </c>
      <c r="M26" s="139"/>
      <c r="N26" s="189">
        <f t="shared" si="4"/>
        <v>0.24623529411764708</v>
      </c>
      <c r="O26" s="190">
        <f t="shared" si="5"/>
        <v>5.0392079999999995</v>
      </c>
      <c r="P26" s="131"/>
    </row>
    <row r="27" spans="1:16">
      <c r="A27" s="144"/>
      <c r="B27" s="137" t="s">
        <v>142</v>
      </c>
      <c r="C27" s="145" t="s">
        <v>143</v>
      </c>
      <c r="D27" s="138">
        <v>0.56000000000000005</v>
      </c>
      <c r="E27" s="128">
        <f t="shared" si="7"/>
        <v>1.3023111111111112E-3</v>
      </c>
      <c r="F27" s="129">
        <f t="shared" si="8"/>
        <v>2.8224000000000003E-2</v>
      </c>
      <c r="G27" s="130"/>
      <c r="H27" s="130"/>
      <c r="I27" s="139"/>
      <c r="J27" s="138">
        <v>10</v>
      </c>
      <c r="K27" s="128">
        <f t="shared" si="2"/>
        <v>2.4623529411764707E-2</v>
      </c>
      <c r="L27" s="129">
        <f t="shared" si="3"/>
        <v>0.50392079999999995</v>
      </c>
      <c r="M27" s="139"/>
      <c r="N27" s="184">
        <f t="shared" si="4"/>
        <v>2.4623529411764707E-2</v>
      </c>
      <c r="O27" s="183">
        <f t="shared" si="5"/>
        <v>0.50392079999999995</v>
      </c>
      <c r="P27" s="131"/>
    </row>
    <row r="28" spans="1:16">
      <c r="A28" s="144"/>
      <c r="B28" s="137" t="s">
        <v>144</v>
      </c>
      <c r="C28" s="145" t="s">
        <v>143</v>
      </c>
      <c r="D28" s="142">
        <v>0.84</v>
      </c>
      <c r="E28" s="128">
        <f t="shared" si="7"/>
        <v>1.9534666666666664E-3</v>
      </c>
      <c r="F28" s="129">
        <f t="shared" si="8"/>
        <v>4.2335999999999999E-2</v>
      </c>
      <c r="G28" s="130"/>
      <c r="H28" s="130"/>
      <c r="I28" s="139"/>
      <c r="J28" s="142">
        <v>16</v>
      </c>
      <c r="K28" s="128">
        <f t="shared" si="2"/>
        <v>3.939764705882353E-2</v>
      </c>
      <c r="L28" s="129">
        <f t="shared" si="3"/>
        <v>0.80627327999999987</v>
      </c>
      <c r="M28" s="139"/>
      <c r="N28" s="184">
        <f t="shared" si="4"/>
        <v>3.939764705882353E-2</v>
      </c>
      <c r="O28" s="183">
        <f t="shared" si="5"/>
        <v>0.80627327999999987</v>
      </c>
      <c r="P28" s="131"/>
    </row>
    <row r="29" spans="1:16">
      <c r="A29" s="136"/>
      <c r="B29" s="137" t="s">
        <v>145</v>
      </c>
      <c r="C29" s="136" t="s">
        <v>143</v>
      </c>
      <c r="D29" s="142">
        <v>0.84</v>
      </c>
      <c r="E29" s="128">
        <f t="shared" si="7"/>
        <v>1.9534666666666664E-3</v>
      </c>
      <c r="F29" s="129">
        <f t="shared" si="8"/>
        <v>4.2335999999999999E-2</v>
      </c>
      <c r="G29" s="130"/>
      <c r="H29" s="130"/>
      <c r="I29" s="139"/>
      <c r="J29" s="142">
        <v>5</v>
      </c>
      <c r="K29" s="128">
        <f t="shared" si="2"/>
        <v>1.2311764705882354E-2</v>
      </c>
      <c r="L29" s="129">
        <f t="shared" si="3"/>
        <v>0.25196039999999997</v>
      </c>
      <c r="M29" s="139"/>
      <c r="N29" s="184">
        <f t="shared" si="4"/>
        <v>1.2311764705882354E-2</v>
      </c>
      <c r="O29" s="183">
        <f t="shared" si="5"/>
        <v>0.25196039999999997</v>
      </c>
      <c r="P29" s="131"/>
    </row>
    <row r="30" spans="1:16">
      <c r="A30" s="136"/>
      <c r="B30" s="137" t="s">
        <v>146</v>
      </c>
      <c r="C30" s="136" t="s">
        <v>143</v>
      </c>
      <c r="D30" s="138">
        <v>0.84</v>
      </c>
      <c r="E30" s="128">
        <f t="shared" si="7"/>
        <v>1.9534666666666664E-3</v>
      </c>
      <c r="F30" s="129">
        <f t="shared" si="8"/>
        <v>4.2335999999999999E-2</v>
      </c>
      <c r="G30" s="130"/>
      <c r="H30" s="130"/>
      <c r="I30" s="139"/>
      <c r="J30" s="138">
        <v>4</v>
      </c>
      <c r="K30" s="128">
        <f t="shared" si="2"/>
        <v>9.8494117647058826E-3</v>
      </c>
      <c r="L30" s="129">
        <f t="shared" si="3"/>
        <v>0.20156831999999997</v>
      </c>
      <c r="M30" s="139"/>
      <c r="N30" s="184">
        <f t="shared" si="4"/>
        <v>9.8494117647058826E-3</v>
      </c>
      <c r="O30" s="183">
        <f t="shared" si="5"/>
        <v>0.20156831999999997</v>
      </c>
      <c r="P30" s="131"/>
    </row>
    <row r="31" spans="1:16">
      <c r="A31" s="201" t="s">
        <v>147</v>
      </c>
      <c r="B31" s="201" t="s">
        <v>148</v>
      </c>
      <c r="C31" s="146"/>
      <c r="D31" s="147"/>
      <c r="E31" s="146"/>
      <c r="F31" s="148">
        <f>B36</f>
        <v>2825.3836799999999</v>
      </c>
      <c r="G31" s="224"/>
      <c r="H31" s="224"/>
      <c r="I31" s="224"/>
      <c r="J31" s="147"/>
      <c r="K31" s="146"/>
      <c r="L31" s="129"/>
      <c r="M31" s="148"/>
      <c r="N31" s="182"/>
      <c r="O31" s="192">
        <f>F31</f>
        <v>2825.3836799999999</v>
      </c>
      <c r="P31" s="131"/>
    </row>
    <row r="32" spans="1:16">
      <c r="A32" s="201" t="s">
        <v>186</v>
      </c>
      <c r="B32" s="202" t="s">
        <v>173</v>
      </c>
      <c r="C32" s="146"/>
      <c r="D32" s="146"/>
      <c r="E32" s="146"/>
      <c r="F32" s="146"/>
      <c r="G32" s="150"/>
      <c r="H32" s="150"/>
      <c r="I32" s="150"/>
      <c r="J32" s="182"/>
      <c r="K32" s="146"/>
      <c r="L32" s="148">
        <f>K36</f>
        <v>5520.6337754879987</v>
      </c>
      <c r="M32" s="146"/>
      <c r="N32" s="182"/>
      <c r="O32" s="192">
        <f t="shared" si="5"/>
        <v>5520.6337754879987</v>
      </c>
    </row>
    <row r="33" spans="1:17" s="114" customFormat="1">
      <c r="A33" s="125" t="s">
        <v>149</v>
      </c>
      <c r="B33" s="136">
        <v>15.3</v>
      </c>
      <c r="C33" s="185" t="s">
        <v>150</v>
      </c>
      <c r="D33" s="149"/>
      <c r="E33" s="149"/>
      <c r="F33" s="149"/>
      <c r="G33" s="149"/>
      <c r="H33" s="149"/>
      <c r="I33" s="150"/>
      <c r="J33" s="172" t="s">
        <v>149</v>
      </c>
      <c r="K33" s="173">
        <v>29.9</v>
      </c>
      <c r="L33" s="172" t="s">
        <v>150</v>
      </c>
      <c r="M33" s="150"/>
      <c r="Q33" s="115"/>
    </row>
    <row r="34" spans="1:17" s="114" customFormat="1">
      <c r="A34" s="125" t="s">
        <v>151</v>
      </c>
      <c r="B34" s="125">
        <v>1</v>
      </c>
      <c r="C34" s="146"/>
      <c r="D34" s="149"/>
      <c r="E34" s="149"/>
      <c r="F34" s="149"/>
      <c r="G34" s="149"/>
      <c r="H34" s="149"/>
      <c r="I34" s="150"/>
      <c r="J34" s="172" t="s">
        <v>151</v>
      </c>
      <c r="K34" s="172">
        <v>1</v>
      </c>
      <c r="L34" s="172"/>
      <c r="M34" s="150"/>
      <c r="Q34" s="115"/>
    </row>
    <row r="35" spans="1:17" s="114" customFormat="1">
      <c r="A35" s="125" t="s">
        <v>152</v>
      </c>
      <c r="B35" s="125">
        <f>(E2*B33*B34)/1000</f>
        <v>771.12</v>
      </c>
      <c r="C35" s="146"/>
      <c r="D35" s="149"/>
      <c r="E35" s="149"/>
      <c r="F35" s="149"/>
      <c r="G35" s="149"/>
      <c r="H35" s="149"/>
      <c r="I35" s="150"/>
      <c r="J35" s="172" t="s">
        <v>152</v>
      </c>
      <c r="K35" s="172">
        <f>(K2*K33*K34)/1000</f>
        <v>1506.7231919999997</v>
      </c>
      <c r="L35" s="172"/>
      <c r="M35" s="150"/>
      <c r="Q35" s="115"/>
    </row>
    <row r="36" spans="1:17" s="114" customFormat="1">
      <c r="A36" s="125" t="s">
        <v>153</v>
      </c>
      <c r="B36" s="151">
        <f>B35*3.664</f>
        <v>2825.3836799999999</v>
      </c>
      <c r="C36" s="146" t="s">
        <v>12</v>
      </c>
      <c r="D36" s="149"/>
      <c r="E36" s="149"/>
      <c r="F36" s="149"/>
      <c r="G36" s="149"/>
      <c r="H36" s="149"/>
      <c r="I36" s="150"/>
      <c r="J36" s="172" t="s">
        <v>153</v>
      </c>
      <c r="K36" s="174">
        <f>K35*3.664</f>
        <v>5520.6337754879987</v>
      </c>
      <c r="L36" s="172" t="s">
        <v>12</v>
      </c>
      <c r="M36" s="150"/>
      <c r="Q36" s="115"/>
    </row>
    <row r="37" spans="1:17" s="114" customFormat="1">
      <c r="A37" s="115"/>
      <c r="B37" s="115"/>
      <c r="C37" s="115"/>
      <c r="D37" s="152"/>
      <c r="E37" s="152"/>
      <c r="F37" s="152"/>
      <c r="G37" s="152"/>
      <c r="H37" s="152"/>
      <c r="I37" s="153"/>
      <c r="J37" s="175" t="s">
        <v>174</v>
      </c>
      <c r="K37" s="176" t="str">
        <f>[3]Algandmed!N7</f>
        <v>t/a</v>
      </c>
      <c r="L37" s="177" t="s">
        <v>172</v>
      </c>
      <c r="M37" s="153"/>
      <c r="Q37" s="115"/>
    </row>
    <row r="38" spans="1:17" s="114" customFormat="1">
      <c r="A38" s="180" t="s">
        <v>175</v>
      </c>
      <c r="B38" s="115"/>
      <c r="C38" s="115"/>
      <c r="D38" s="132"/>
      <c r="E38" s="132"/>
      <c r="F38" s="132"/>
      <c r="G38" s="132"/>
      <c r="H38" s="132"/>
      <c r="Q38" s="115"/>
    </row>
    <row r="39" spans="1:17" s="114" customFormat="1">
      <c r="A39" s="132"/>
      <c r="B39" s="132"/>
      <c r="C39" s="132"/>
      <c r="D39" s="132"/>
      <c r="E39" s="132"/>
      <c r="F39" s="132"/>
      <c r="G39" s="132"/>
      <c r="H39" s="132"/>
      <c r="J39" s="203"/>
      <c r="K39" s="204"/>
      <c r="L39" s="181"/>
      <c r="M39" s="179"/>
      <c r="N39" s="179"/>
      <c r="P39" s="179"/>
      <c r="Q39" s="179"/>
    </row>
    <row r="40" spans="1:17" s="114" customFormat="1" ht="14.4" customHeight="1">
      <c r="A40" s="469" t="s">
        <v>27</v>
      </c>
      <c r="B40" s="471" t="s">
        <v>176</v>
      </c>
      <c r="C40" s="468" t="s">
        <v>177</v>
      </c>
      <c r="D40" s="471" t="s">
        <v>178</v>
      </c>
      <c r="E40" s="468" t="s">
        <v>179</v>
      </c>
      <c r="F40" s="468" t="s">
        <v>180</v>
      </c>
      <c r="G40" s="468" t="s">
        <v>181</v>
      </c>
      <c r="H40" s="468" t="s">
        <v>182</v>
      </c>
      <c r="J40" s="469" t="s">
        <v>27</v>
      </c>
      <c r="K40" s="471" t="s">
        <v>176</v>
      </c>
      <c r="L40" s="468" t="s">
        <v>177</v>
      </c>
      <c r="M40" s="471" t="s">
        <v>178</v>
      </c>
      <c r="N40" s="468" t="s">
        <v>179</v>
      </c>
      <c r="O40" s="468" t="s">
        <v>180</v>
      </c>
      <c r="P40" s="468" t="s">
        <v>181</v>
      </c>
      <c r="Q40" s="468" t="s">
        <v>182</v>
      </c>
    </row>
    <row r="41" spans="1:17" s="114" customFormat="1">
      <c r="A41" s="470"/>
      <c r="B41" s="471"/>
      <c r="C41" s="468"/>
      <c r="D41" s="471"/>
      <c r="E41" s="468"/>
      <c r="F41" s="468"/>
      <c r="G41" s="468"/>
      <c r="H41" s="468"/>
      <c r="J41" s="470"/>
      <c r="K41" s="471"/>
      <c r="L41" s="468"/>
      <c r="M41" s="471"/>
      <c r="N41" s="468"/>
      <c r="O41" s="468"/>
      <c r="P41" s="468"/>
      <c r="Q41" s="468"/>
    </row>
    <row r="42" spans="1:17" s="114" customFormat="1">
      <c r="A42" s="215" t="s">
        <v>183</v>
      </c>
      <c r="B42" s="215">
        <v>1</v>
      </c>
      <c r="C42" s="215" t="s">
        <v>72</v>
      </c>
      <c r="D42" s="536">
        <v>75</v>
      </c>
      <c r="E42" s="216">
        <f>E12</f>
        <v>1.0464999999999999E-3</v>
      </c>
      <c r="F42" s="217">
        <f>E43</f>
        <v>1.0464999999999999E-3</v>
      </c>
      <c r="G42" s="218">
        <f>F12</f>
        <v>2.2679999999999999E-2</v>
      </c>
      <c r="H42" s="217">
        <f>G43</f>
        <v>2.2679999999999999E-2</v>
      </c>
      <c r="J42" s="215" t="s">
        <v>183</v>
      </c>
      <c r="K42" s="215">
        <v>1</v>
      </c>
      <c r="L42" s="215" t="s">
        <v>72</v>
      </c>
      <c r="M42" s="536">
        <v>75</v>
      </c>
      <c r="N42" s="216">
        <f>K12</f>
        <v>0.35704117647058825</v>
      </c>
      <c r="O42" s="217">
        <f>N43</f>
        <v>0.29055764705882353</v>
      </c>
      <c r="P42" s="218">
        <f>L12</f>
        <v>7.3068515999999999</v>
      </c>
      <c r="Q42" s="217">
        <f>P43</f>
        <v>5.9462654399999995</v>
      </c>
    </row>
    <row r="43" spans="1:17">
      <c r="A43" s="219"/>
      <c r="B43" s="219"/>
      <c r="C43" s="215" t="s">
        <v>112</v>
      </c>
      <c r="D43" s="215"/>
      <c r="E43" s="216">
        <f t="shared" ref="E43:E44" si="9">E13</f>
        <v>1.0464999999999999E-3</v>
      </c>
      <c r="F43" s="217">
        <f>F42</f>
        <v>1.0464999999999999E-3</v>
      </c>
      <c r="G43" s="218">
        <f t="shared" ref="G43:G44" si="10">F13</f>
        <v>2.2679999999999999E-2</v>
      </c>
      <c r="H43" s="217">
        <f>G43</f>
        <v>2.2679999999999999E-2</v>
      </c>
      <c r="J43" s="219"/>
      <c r="K43" s="219"/>
      <c r="L43" s="215" t="s">
        <v>112</v>
      </c>
      <c r="M43" s="215"/>
      <c r="N43" s="216">
        <f t="shared" ref="N43:N44" si="11">K13</f>
        <v>0.29055764705882353</v>
      </c>
      <c r="O43" s="217">
        <f>O42</f>
        <v>0.29055764705882353</v>
      </c>
      <c r="P43" s="218">
        <f t="shared" ref="P43:P44" si="12">L13</f>
        <v>5.9462654399999995</v>
      </c>
      <c r="Q43" s="217">
        <f>P43</f>
        <v>5.9462654399999995</v>
      </c>
    </row>
    <row r="44" spans="1:17" ht="14.4" customHeight="1">
      <c r="A44" s="220"/>
      <c r="B44" s="220"/>
      <c r="C44" s="221" t="s">
        <v>184</v>
      </c>
      <c r="D44" s="221"/>
      <c r="E44" s="216">
        <f t="shared" si="9"/>
        <v>1.0464999999999999E-3</v>
      </c>
      <c r="F44" s="217">
        <f>E44</f>
        <v>1.0464999999999999E-3</v>
      </c>
      <c r="G44" s="218">
        <f t="shared" si="10"/>
        <v>2.2679999999999999E-2</v>
      </c>
      <c r="H44" s="217">
        <f>G44</f>
        <v>2.2679999999999999E-2</v>
      </c>
      <c r="J44" s="220"/>
      <c r="K44" s="220"/>
      <c r="L44" s="221" t="s">
        <v>184</v>
      </c>
      <c r="M44" s="221"/>
      <c r="N44" s="216">
        <f t="shared" si="11"/>
        <v>0.28317058823529412</v>
      </c>
      <c r="O44" s="217">
        <f>N44</f>
        <v>0.28317058823529412</v>
      </c>
      <c r="P44" s="218">
        <f t="shared" si="12"/>
        <v>5.7950891999999996</v>
      </c>
      <c r="Q44" s="217">
        <f>P44</f>
        <v>5.7950891999999996</v>
      </c>
    </row>
    <row r="45" spans="1:17">
      <c r="J45" s="222"/>
      <c r="K45" s="222"/>
      <c r="L45" s="222"/>
      <c r="M45" s="222"/>
      <c r="N45" s="222"/>
      <c r="O45" s="222"/>
      <c r="P45" s="222"/>
      <c r="Q45" s="67"/>
    </row>
    <row r="50" spans="14:14">
      <c r="N50" s="263"/>
    </row>
    <row r="53" spans="14:14">
      <c r="N53" s="263"/>
    </row>
  </sheetData>
  <mergeCells count="24">
    <mergeCell ref="P40:P41"/>
    <mergeCell ref="Q40:Q41"/>
    <mergeCell ref="N6:O6"/>
    <mergeCell ref="J40:J41"/>
    <mergeCell ref="K40:K41"/>
    <mergeCell ref="L40:L41"/>
    <mergeCell ref="M40:M41"/>
    <mergeCell ref="N40:N41"/>
    <mergeCell ref="O40:O41"/>
    <mergeCell ref="D1:F1"/>
    <mergeCell ref="J1:L1"/>
    <mergeCell ref="D2:D6"/>
    <mergeCell ref="J2:J6"/>
    <mergeCell ref="A4:C4"/>
    <mergeCell ref="A5:C5"/>
    <mergeCell ref="A6:C6"/>
    <mergeCell ref="G40:G41"/>
    <mergeCell ref="A40:A41"/>
    <mergeCell ref="H40:H41"/>
    <mergeCell ref="B40:B41"/>
    <mergeCell ref="C40:C41"/>
    <mergeCell ref="D40:D41"/>
    <mergeCell ref="E40:E41"/>
    <mergeCell ref="F40:F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Normal="100" workbookViewId="0">
      <selection activeCell="C40" sqref="C40"/>
    </sheetView>
  </sheetViews>
  <sheetFormatPr defaultRowHeight="14.4"/>
  <cols>
    <col min="1" max="1" width="16.77734375" customWidth="1"/>
    <col min="2" max="2" width="24.5546875" customWidth="1"/>
    <col min="3" max="3" width="14.5546875" customWidth="1"/>
    <col min="4" max="4" width="20.44140625" customWidth="1"/>
    <col min="7" max="7" width="15.88671875" customWidth="1"/>
  </cols>
  <sheetData>
    <row r="1" spans="1:3">
      <c r="A1" t="s">
        <v>247</v>
      </c>
    </row>
    <row r="2" spans="1:3">
      <c r="A2" t="s">
        <v>248</v>
      </c>
    </row>
    <row r="3" spans="1:3">
      <c r="A3" s="225"/>
      <c r="B3" s="225"/>
      <c r="C3" s="225"/>
    </row>
    <row r="4" spans="1:3">
      <c r="A4" t="s">
        <v>249</v>
      </c>
      <c r="B4" s="226"/>
      <c r="C4" s="226"/>
    </row>
    <row r="5" spans="1:3">
      <c r="A5" t="s">
        <v>250</v>
      </c>
    </row>
    <row r="6" spans="1:3">
      <c r="A6" s="227" t="s">
        <v>251</v>
      </c>
    </row>
    <row r="7" spans="1:3">
      <c r="A7" s="109" t="s">
        <v>262</v>
      </c>
      <c r="B7" s="228">
        <f>'K1 Põletusseade '!E8</f>
        <v>9.9533777777777763E-2</v>
      </c>
      <c r="C7" s="211" t="s">
        <v>252</v>
      </c>
    </row>
    <row r="8" spans="1:3">
      <c r="A8" s="1" t="s">
        <v>253</v>
      </c>
      <c r="B8" s="228">
        <f>Kiirused!E7</f>
        <v>1.1512730188288847</v>
      </c>
      <c r="C8" s="211" t="s">
        <v>254</v>
      </c>
    </row>
    <row r="9" spans="1:3">
      <c r="A9" s="1" t="s">
        <v>255</v>
      </c>
      <c r="B9" s="1">
        <f>Kiirused!F6+'Piirvääruse arvutus'!B10</f>
        <v>463</v>
      </c>
      <c r="C9" s="229" t="s">
        <v>256</v>
      </c>
    </row>
    <row r="10" spans="1:3">
      <c r="A10" s="1"/>
      <c r="B10" s="1">
        <v>273</v>
      </c>
      <c r="C10" s="211" t="s">
        <v>256</v>
      </c>
    </row>
    <row r="11" spans="1:3">
      <c r="A11" s="1" t="s">
        <v>257</v>
      </c>
      <c r="B11" s="210">
        <f>B8*B10/B9</f>
        <v>0.67882836747361885</v>
      </c>
      <c r="C11" s="211" t="s">
        <v>258</v>
      </c>
    </row>
    <row r="12" spans="1:3">
      <c r="A12" s="1" t="s">
        <v>259</v>
      </c>
      <c r="B12" s="230">
        <f>B7/B11*1000</f>
        <v>146.62583732057413</v>
      </c>
      <c r="C12" s="211" t="s">
        <v>260</v>
      </c>
    </row>
    <row r="15" spans="1:3">
      <c r="A15" s="227" t="s">
        <v>171</v>
      </c>
    </row>
    <row r="16" spans="1:3">
      <c r="A16" s="109" t="s">
        <v>263</v>
      </c>
      <c r="B16" s="228">
        <f>'K1 Põletusseade '!K8</f>
        <v>0.51709411764705882</v>
      </c>
      <c r="C16" s="211" t="s">
        <v>252</v>
      </c>
    </row>
    <row r="17" spans="1:3">
      <c r="A17" s="1" t="s">
        <v>253</v>
      </c>
      <c r="B17" s="228">
        <f>Kiirused!E18</f>
        <v>1.3830729555058414</v>
      </c>
      <c r="C17" s="211" t="s">
        <v>254</v>
      </c>
    </row>
    <row r="18" spans="1:3">
      <c r="A18" s="1" t="s">
        <v>255</v>
      </c>
      <c r="B18" s="1">
        <f>Kiirused!F17+'Piirvääruse arvutus'!B19</f>
        <v>463</v>
      </c>
      <c r="C18" s="229" t="s">
        <v>256</v>
      </c>
    </row>
    <row r="19" spans="1:3">
      <c r="A19" s="1"/>
      <c r="B19" s="1">
        <v>273</v>
      </c>
      <c r="C19" s="211" t="s">
        <v>256</v>
      </c>
    </row>
    <row r="20" spans="1:3">
      <c r="A20" s="1" t="s">
        <v>257</v>
      </c>
      <c r="B20" s="210">
        <f>B17*B19/B18</f>
        <v>0.81550521998508574</v>
      </c>
      <c r="C20" s="211" t="s">
        <v>258</v>
      </c>
    </row>
    <row r="21" spans="1:3">
      <c r="A21" s="1" t="s">
        <v>259</v>
      </c>
      <c r="B21" s="230">
        <f>B16/B20*1000</f>
        <v>634.07824373768653</v>
      </c>
      <c r="C21" s="211" t="s">
        <v>260</v>
      </c>
    </row>
    <row r="24" spans="1:3">
      <c r="A24" s="109" t="s">
        <v>261</v>
      </c>
      <c r="B24" s="231">
        <f>'K1 Põletusseade '!O42</f>
        <v>0.29055764705882353</v>
      </c>
      <c r="C24" s="211" t="s">
        <v>252</v>
      </c>
    </row>
    <row r="25" spans="1:3">
      <c r="A25" s="232" t="s">
        <v>253</v>
      </c>
      <c r="B25" s="228">
        <f>B17</f>
        <v>1.3830729555058414</v>
      </c>
      <c r="C25" s="211" t="s">
        <v>254</v>
      </c>
    </row>
    <row r="26" spans="1:3">
      <c r="A26" s="1" t="s">
        <v>255</v>
      </c>
      <c r="B26" s="1">
        <f>Kiirused!F17+'Piirvääruse arvutus'!B27</f>
        <v>463</v>
      </c>
      <c r="C26" s="229" t="s">
        <v>256</v>
      </c>
    </row>
    <row r="27" spans="1:3">
      <c r="A27" s="1"/>
      <c r="B27" s="1">
        <v>273</v>
      </c>
      <c r="C27" s="211" t="s">
        <v>256</v>
      </c>
    </row>
    <row r="28" spans="1:3">
      <c r="A28" s="1" t="s">
        <v>257</v>
      </c>
      <c r="B28" s="210">
        <f>B25*B27/B26</f>
        <v>0.81550521998508574</v>
      </c>
      <c r="C28" s="211" t="s">
        <v>258</v>
      </c>
    </row>
    <row r="29" spans="1:3">
      <c r="A29" s="1" t="s">
        <v>259</v>
      </c>
      <c r="B29" s="230">
        <f>B24/B28*1000</f>
        <v>356.29158457641432</v>
      </c>
      <c r="C29" s="211" t="s">
        <v>260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45" sqref="M45"/>
    </sheetView>
  </sheetViews>
  <sheetFormatPr defaultRowHeight="14.4"/>
  <cols>
    <col min="1" max="1" width="11.33203125" customWidth="1"/>
    <col min="13" max="13" width="19.6640625" customWidth="1"/>
  </cols>
  <sheetData>
    <row r="1" spans="1:13">
      <c r="A1" s="186" t="s">
        <v>187</v>
      </c>
      <c r="B1" s="154"/>
      <c r="C1" s="155"/>
      <c r="D1" s="156" t="s">
        <v>154</v>
      </c>
      <c r="E1" s="157">
        <f>'K1 Põletusseade '!E4</f>
        <v>2.3255555555555554</v>
      </c>
      <c r="F1" s="156" t="s">
        <v>92</v>
      </c>
      <c r="G1" s="156"/>
      <c r="H1" s="156"/>
      <c r="I1" s="156"/>
      <c r="J1" s="158"/>
      <c r="K1" s="158"/>
      <c r="L1" s="158"/>
      <c r="M1" s="159"/>
    </row>
    <row r="2" spans="1:13">
      <c r="A2" s="160" t="s">
        <v>155</v>
      </c>
      <c r="J2" s="67"/>
      <c r="K2" s="67"/>
      <c r="L2" s="67"/>
      <c r="M2" s="161"/>
    </row>
    <row r="3" spans="1:13">
      <c r="A3" s="160"/>
      <c r="D3" t="s">
        <v>156</v>
      </c>
      <c r="E3" s="162">
        <f>E1*0.25</f>
        <v>0.58138888888888884</v>
      </c>
      <c r="F3" t="s">
        <v>157</v>
      </c>
      <c r="J3" s="67"/>
      <c r="K3" s="67"/>
      <c r="L3" s="67"/>
      <c r="M3" s="161"/>
    </row>
    <row r="4" spans="1:13">
      <c r="A4" s="160"/>
      <c r="D4" s="163" t="s">
        <v>158</v>
      </c>
      <c r="E4" s="162">
        <f>20.9/(20.9-3)</f>
        <v>1.1675977653631284</v>
      </c>
      <c r="I4" t="s">
        <v>158</v>
      </c>
      <c r="J4" s="67" t="s">
        <v>159</v>
      </c>
      <c r="K4" s="67"/>
      <c r="L4" s="67"/>
      <c r="M4" s="161"/>
    </row>
    <row r="5" spans="1:13">
      <c r="A5" s="160"/>
      <c r="D5" t="s">
        <v>160</v>
      </c>
      <c r="E5" s="162">
        <f>E3*E4</f>
        <v>0.67882836747361874</v>
      </c>
      <c r="F5" t="s">
        <v>161</v>
      </c>
      <c r="J5" s="67"/>
      <c r="K5" s="67"/>
      <c r="L5" s="67"/>
      <c r="M5" s="161"/>
    </row>
    <row r="6" spans="1:13">
      <c r="A6" s="160" t="s">
        <v>162</v>
      </c>
      <c r="F6" s="100">
        <v>190</v>
      </c>
      <c r="G6" t="s">
        <v>163</v>
      </c>
      <c r="J6" s="67"/>
      <c r="K6" s="67"/>
      <c r="L6" s="67"/>
      <c r="M6" s="161"/>
    </row>
    <row r="7" spans="1:13">
      <c r="A7" s="160"/>
      <c r="D7" t="s">
        <v>164</v>
      </c>
      <c r="E7" s="162">
        <f>E5*(273+F6)/273</f>
        <v>1.1512730188288847</v>
      </c>
      <c r="F7" t="s">
        <v>165</v>
      </c>
      <c r="J7" s="67"/>
      <c r="K7" s="67"/>
      <c r="L7" s="67"/>
      <c r="M7" s="161"/>
    </row>
    <row r="8" spans="1:13">
      <c r="A8" s="160" t="s">
        <v>166</v>
      </c>
      <c r="I8" t="s">
        <v>167</v>
      </c>
      <c r="J8" s="67">
        <v>0.63</v>
      </c>
      <c r="K8" s="67" t="s">
        <v>168</v>
      </c>
      <c r="L8" s="67"/>
      <c r="M8" s="161"/>
    </row>
    <row r="9" spans="1:13" ht="15" thickBot="1">
      <c r="A9" s="164"/>
      <c r="B9" s="165"/>
      <c r="C9" s="165"/>
      <c r="D9" s="187" t="s">
        <v>169</v>
      </c>
      <c r="E9" s="188">
        <f>4*E7/(3.14*J8*J8)</f>
        <v>3.6951116979164467</v>
      </c>
      <c r="F9" s="187" t="s">
        <v>170</v>
      </c>
      <c r="G9" s="165"/>
      <c r="H9" s="165"/>
      <c r="I9" s="165"/>
      <c r="J9" s="166"/>
      <c r="K9" s="166"/>
      <c r="L9" s="166"/>
      <c r="M9" s="167"/>
    </row>
    <row r="10" spans="1:13">
      <c r="J10" s="67"/>
      <c r="K10" s="67"/>
      <c r="L10" s="67"/>
      <c r="M10" s="168"/>
    </row>
    <row r="11" spans="1:13" ht="15" thickBot="1"/>
    <row r="12" spans="1:13">
      <c r="A12" s="186" t="s">
        <v>171</v>
      </c>
      <c r="B12" s="154"/>
      <c r="C12" s="155"/>
      <c r="D12" s="156" t="s">
        <v>154</v>
      </c>
      <c r="E12" s="157">
        <f>E1</f>
        <v>2.3255555555555554</v>
      </c>
      <c r="F12" s="156" t="s">
        <v>92</v>
      </c>
      <c r="G12" s="156"/>
      <c r="H12" s="156"/>
      <c r="I12" s="156"/>
      <c r="J12" s="158"/>
      <c r="K12" s="158"/>
      <c r="L12" s="158"/>
      <c r="M12" s="159"/>
    </row>
    <row r="13" spans="1:13">
      <c r="A13" s="160" t="s">
        <v>155</v>
      </c>
      <c r="J13" s="67"/>
      <c r="K13" s="67"/>
      <c r="L13" s="67"/>
      <c r="M13" s="161"/>
    </row>
    <row r="14" spans="1:13">
      <c r="A14" s="160"/>
      <c r="D14" t="s">
        <v>156</v>
      </c>
      <c r="E14" s="162">
        <f>E12*0.25</f>
        <v>0.58138888888888884</v>
      </c>
      <c r="F14" t="s">
        <v>157</v>
      </c>
      <c r="J14" s="67"/>
      <c r="K14" s="67"/>
      <c r="L14" s="67"/>
      <c r="M14" s="161"/>
    </row>
    <row r="15" spans="1:13">
      <c r="A15" s="160"/>
      <c r="D15" s="163" t="s">
        <v>158</v>
      </c>
      <c r="E15" s="162">
        <f>20.9/(20.9-6)</f>
        <v>1.4026845637583893</v>
      </c>
      <c r="I15" t="s">
        <v>158</v>
      </c>
      <c r="J15" s="67" t="s">
        <v>159</v>
      </c>
      <c r="K15" s="67"/>
      <c r="L15" s="67"/>
      <c r="M15" s="161"/>
    </row>
    <row r="16" spans="1:13">
      <c r="A16" s="160"/>
      <c r="D16" t="s">
        <v>160</v>
      </c>
      <c r="E16" s="162">
        <f>E14*E15</f>
        <v>0.81550521998508574</v>
      </c>
      <c r="F16" t="s">
        <v>161</v>
      </c>
      <c r="J16" s="67"/>
      <c r="K16" s="67"/>
      <c r="L16" s="67"/>
      <c r="M16" s="161"/>
    </row>
    <row r="17" spans="1:13">
      <c r="A17" s="160" t="s">
        <v>162</v>
      </c>
      <c r="F17" s="100">
        <v>190</v>
      </c>
      <c r="G17" t="s">
        <v>163</v>
      </c>
      <c r="J17" s="67"/>
      <c r="K17" s="67"/>
      <c r="L17" s="67"/>
      <c r="M17" s="161"/>
    </row>
    <row r="18" spans="1:13">
      <c r="A18" s="160"/>
      <c r="D18" t="s">
        <v>164</v>
      </c>
      <c r="E18" s="162">
        <f>E16*(273+F17)/273</f>
        <v>1.3830729555058414</v>
      </c>
      <c r="F18" t="s">
        <v>165</v>
      </c>
      <c r="J18" s="67"/>
      <c r="K18" s="67"/>
      <c r="L18" s="67"/>
      <c r="M18" s="161"/>
    </row>
    <row r="19" spans="1:13">
      <c r="A19" s="160" t="s">
        <v>166</v>
      </c>
      <c r="I19" t="s">
        <v>167</v>
      </c>
      <c r="J19" s="67">
        <v>0.63</v>
      </c>
      <c r="K19" s="67" t="s">
        <v>168</v>
      </c>
      <c r="L19" s="67"/>
      <c r="M19" s="161"/>
    </row>
    <row r="20" spans="1:13" ht="15" thickBot="1">
      <c r="A20" s="164"/>
      <c r="B20" s="165"/>
      <c r="C20" s="165"/>
      <c r="D20" s="187" t="s">
        <v>169</v>
      </c>
      <c r="E20" s="188">
        <f>4*E18/(3.14*J19*J19)</f>
        <v>4.43909391897345</v>
      </c>
      <c r="F20" s="187" t="s">
        <v>170</v>
      </c>
      <c r="G20" s="165"/>
      <c r="H20" s="165"/>
      <c r="I20" s="165"/>
      <c r="J20" s="166"/>
      <c r="K20" s="166"/>
      <c r="L20" s="166"/>
      <c r="M20" s="16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1"/>
  <sheetViews>
    <sheetView workbookViewId="0">
      <selection activeCell="L33" sqref="L33"/>
    </sheetView>
  </sheetViews>
  <sheetFormatPr defaultRowHeight="14.4"/>
  <cols>
    <col min="3" max="3" width="27.6640625" bestFit="1" customWidth="1"/>
    <col min="4" max="4" width="26.6640625" bestFit="1" customWidth="1"/>
    <col min="5" max="5" width="35.109375" customWidth="1"/>
    <col min="7" max="7" width="15.21875" customWidth="1"/>
    <col min="8" max="8" width="16.109375" customWidth="1"/>
    <col min="10" max="10" width="10.6640625" customWidth="1"/>
  </cols>
  <sheetData>
    <row r="2" spans="1:13">
      <c r="A2" t="s">
        <v>52</v>
      </c>
      <c r="D2" s="100">
        <f>Kogused!C16</f>
        <v>360</v>
      </c>
      <c r="E2" t="s">
        <v>53</v>
      </c>
      <c r="F2" s="101">
        <f>D2/5</f>
        <v>72</v>
      </c>
      <c r="G2" t="s">
        <v>54</v>
      </c>
    </row>
    <row r="3" spans="1:13">
      <c r="A3" t="s">
        <v>55</v>
      </c>
    </row>
    <row r="4" spans="1:13">
      <c r="A4" s="102" t="s">
        <v>56</v>
      </c>
    </row>
    <row r="5" spans="1:13">
      <c r="A5" s="103"/>
    </row>
    <row r="6" spans="1:13">
      <c r="A6" s="488" t="s">
        <v>57</v>
      </c>
      <c r="B6" s="488"/>
      <c r="C6" s="489" t="s">
        <v>58</v>
      </c>
      <c r="D6" s="485" t="s">
        <v>59</v>
      </c>
      <c r="E6" s="489" t="s">
        <v>60</v>
      </c>
      <c r="F6" s="489" t="s">
        <v>61</v>
      </c>
      <c r="G6" s="485" t="s">
        <v>62</v>
      </c>
      <c r="H6" s="485" t="s">
        <v>63</v>
      </c>
      <c r="I6" s="488" t="s">
        <v>64</v>
      </c>
      <c r="J6" s="488"/>
      <c r="K6" s="488"/>
      <c r="L6" s="488"/>
    </row>
    <row r="7" spans="1:13">
      <c r="A7" s="489" t="s">
        <v>65</v>
      </c>
      <c r="B7" s="488" t="s">
        <v>66</v>
      </c>
      <c r="C7" s="489"/>
      <c r="D7" s="486"/>
      <c r="E7" s="489"/>
      <c r="F7" s="489"/>
      <c r="G7" s="486"/>
      <c r="H7" s="486"/>
      <c r="I7" s="485" t="s">
        <v>67</v>
      </c>
      <c r="J7" s="488" t="s">
        <v>66</v>
      </c>
      <c r="K7" s="488" t="s">
        <v>68</v>
      </c>
      <c r="L7" s="488"/>
    </row>
    <row r="8" spans="1:13">
      <c r="A8" s="489"/>
      <c r="B8" s="488"/>
      <c r="C8" s="489"/>
      <c r="D8" s="486"/>
      <c r="E8" s="489"/>
      <c r="F8" s="489"/>
      <c r="G8" s="486"/>
      <c r="H8" s="486"/>
      <c r="I8" s="486"/>
      <c r="J8" s="488"/>
      <c r="K8" s="488"/>
      <c r="L8" s="488"/>
    </row>
    <row r="9" spans="1:13">
      <c r="A9" s="489"/>
      <c r="B9" s="488"/>
      <c r="C9" s="489"/>
      <c r="D9" s="486"/>
      <c r="E9" s="489"/>
      <c r="F9" s="489"/>
      <c r="G9" s="486"/>
      <c r="H9" s="486"/>
      <c r="I9" s="486"/>
      <c r="J9" s="488"/>
      <c r="K9" s="489" t="s">
        <v>69</v>
      </c>
      <c r="L9" s="488" t="s">
        <v>70</v>
      </c>
    </row>
    <row r="10" spans="1:13">
      <c r="A10" s="489"/>
      <c r="B10" s="488"/>
      <c r="C10" s="489"/>
      <c r="D10" s="486"/>
      <c r="E10" s="489"/>
      <c r="F10" s="489"/>
      <c r="G10" s="486"/>
      <c r="H10" s="486"/>
      <c r="I10" s="486"/>
      <c r="J10" s="488"/>
      <c r="K10" s="489"/>
      <c r="L10" s="488"/>
    </row>
    <row r="11" spans="1:13">
      <c r="A11" s="489"/>
      <c r="B11" s="488"/>
      <c r="C11" s="489"/>
      <c r="D11" s="486"/>
      <c r="E11" s="489"/>
      <c r="F11" s="489"/>
      <c r="G11" s="486"/>
      <c r="H11" s="486"/>
      <c r="I11" s="486"/>
      <c r="J11" s="488"/>
      <c r="K11" s="489"/>
      <c r="L11" s="488"/>
    </row>
    <row r="12" spans="1:13">
      <c r="A12" s="489"/>
      <c r="B12" s="488"/>
      <c r="C12" s="489"/>
      <c r="D12" s="487"/>
      <c r="E12" s="489"/>
      <c r="F12" s="489"/>
      <c r="G12" s="487"/>
      <c r="H12" s="487"/>
      <c r="I12" s="487"/>
      <c r="J12" s="488"/>
      <c r="K12" s="489"/>
      <c r="L12" s="488"/>
    </row>
    <row r="13" spans="1:13">
      <c r="A13" s="104">
        <v>1</v>
      </c>
      <c r="B13" s="105">
        <v>2</v>
      </c>
      <c r="C13" s="104">
        <v>3</v>
      </c>
      <c r="D13" s="105">
        <v>4</v>
      </c>
      <c r="E13" s="104">
        <v>5</v>
      </c>
      <c r="F13" s="105">
        <v>6</v>
      </c>
      <c r="G13" s="104">
        <v>7</v>
      </c>
      <c r="H13" s="105">
        <v>8</v>
      </c>
      <c r="I13" s="104">
        <v>9</v>
      </c>
      <c r="J13" s="105">
        <v>10</v>
      </c>
      <c r="K13" s="104">
        <v>11</v>
      </c>
      <c r="L13" s="105">
        <v>12</v>
      </c>
    </row>
    <row r="14" spans="1:13" ht="30.6" customHeight="1">
      <c r="A14" s="267" t="s">
        <v>86</v>
      </c>
      <c r="B14" s="267"/>
      <c r="C14" s="268">
        <v>0.12</v>
      </c>
      <c r="D14" s="266">
        <f>F2</f>
        <v>72</v>
      </c>
      <c r="E14" s="269">
        <f>D14/F14*1000</f>
        <v>8.2417582417582427</v>
      </c>
      <c r="F14" s="270">
        <v>8736</v>
      </c>
      <c r="G14" s="270">
        <v>0.9</v>
      </c>
      <c r="H14" s="271">
        <v>0.86</v>
      </c>
      <c r="I14" s="211" t="s">
        <v>72</v>
      </c>
      <c r="J14" s="211" t="s">
        <v>73</v>
      </c>
      <c r="K14" s="272">
        <f>L14*1000000/(F14*3600)</f>
        <v>1.0384615384615389E-3</v>
      </c>
      <c r="L14" s="269">
        <f>0.001*E14*0.03*G14*C14*(1-H14)*F14</f>
        <v>3.2659200000000013E-2</v>
      </c>
    </row>
    <row r="15" spans="1:13">
      <c r="A15" s="106"/>
    </row>
    <row r="16" spans="1:13">
      <c r="I16" s="108" t="s">
        <v>85</v>
      </c>
      <c r="J16" s="108"/>
      <c r="K16" s="108"/>
      <c r="L16" s="108"/>
      <c r="M16" s="108"/>
    </row>
    <row r="17" spans="1:13">
      <c r="A17" s="107"/>
      <c r="B17" s="107"/>
    </row>
    <row r="18" spans="1:13">
      <c r="A18" s="107"/>
      <c r="B18" s="107"/>
      <c r="K18" s="1" t="s">
        <v>204</v>
      </c>
      <c r="L18" s="210">
        <f>L14/2</f>
        <v>1.6329600000000007E-2</v>
      </c>
      <c r="M18" s="1" t="s">
        <v>12</v>
      </c>
    </row>
    <row r="19" spans="1:13">
      <c r="K19" s="1" t="s">
        <v>207</v>
      </c>
      <c r="L19" s="210">
        <f>L14/2</f>
        <v>1.6329600000000007E-2</v>
      </c>
      <c r="M19" s="1" t="s">
        <v>12</v>
      </c>
    </row>
    <row r="20" spans="1:13">
      <c r="A20" t="s">
        <v>74</v>
      </c>
    </row>
    <row r="21" spans="1:13">
      <c r="A21" t="s">
        <v>75</v>
      </c>
    </row>
    <row r="22" spans="1:13">
      <c r="A22" t="s">
        <v>76</v>
      </c>
    </row>
    <row r="23" spans="1:13">
      <c r="A23" t="s">
        <v>77</v>
      </c>
    </row>
    <row r="24" spans="1:13">
      <c r="A24" t="s">
        <v>78</v>
      </c>
    </row>
    <row r="25" spans="1:13">
      <c r="A25" t="s">
        <v>79</v>
      </c>
    </row>
    <row r="26" spans="1:13">
      <c r="A26" t="s">
        <v>80</v>
      </c>
    </row>
    <row r="27" spans="1:13">
      <c r="A27" t="s">
        <v>81</v>
      </c>
    </row>
    <row r="28" spans="1:13">
      <c r="A28" t="s">
        <v>82</v>
      </c>
    </row>
    <row r="29" spans="1:13">
      <c r="A29" t="s">
        <v>83</v>
      </c>
    </row>
    <row r="31" spans="1:13">
      <c r="A31" s="102"/>
    </row>
  </sheetData>
  <mergeCells count="15">
    <mergeCell ref="H6:H12"/>
    <mergeCell ref="I6:L6"/>
    <mergeCell ref="A7:A12"/>
    <mergeCell ref="B7:B12"/>
    <mergeCell ref="I7:I12"/>
    <mergeCell ref="J7:J12"/>
    <mergeCell ref="K7:L8"/>
    <mergeCell ref="K9:K12"/>
    <mergeCell ref="L9:L12"/>
    <mergeCell ref="A6:B6"/>
    <mergeCell ref="C6:C12"/>
    <mergeCell ref="D6:D12"/>
    <mergeCell ref="E6:E12"/>
    <mergeCell ref="F6:F12"/>
    <mergeCell ref="G6:G12"/>
  </mergeCells>
  <hyperlinks>
    <hyperlink ref="A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zoomScaleNormal="100" workbookViewId="0">
      <selection activeCell="J55" sqref="J55"/>
    </sheetView>
  </sheetViews>
  <sheetFormatPr defaultRowHeight="14.4"/>
  <cols>
    <col min="1" max="1" width="6" customWidth="1"/>
    <col min="2" max="2" width="12.21875" bestFit="1" customWidth="1"/>
    <col min="3" max="3" width="10" bestFit="1" customWidth="1"/>
    <col min="4" max="4" width="11" bestFit="1" customWidth="1"/>
    <col min="5" max="5" width="11.44140625" bestFit="1" customWidth="1"/>
    <col min="6" max="6" width="14.33203125" bestFit="1" customWidth="1"/>
    <col min="7" max="7" width="18" bestFit="1" customWidth="1"/>
    <col min="8" max="8" width="11.109375" bestFit="1" customWidth="1"/>
    <col min="9" max="10" width="13.21875" bestFit="1" customWidth="1"/>
    <col min="11" max="11" width="13.109375" bestFit="1" customWidth="1"/>
    <col min="12" max="12" width="16.21875" bestFit="1" customWidth="1"/>
    <col min="13" max="14" width="14.109375" customWidth="1"/>
    <col min="15" max="15" width="15.6640625" bestFit="1" customWidth="1"/>
    <col min="16" max="16" width="15.5546875" bestFit="1" customWidth="1"/>
    <col min="20" max="20" width="8.33203125" customWidth="1"/>
  </cols>
  <sheetData>
    <row r="1" spans="1:16">
      <c r="A1" s="227" t="s">
        <v>457</v>
      </c>
    </row>
    <row r="2" spans="1:16" s="366" customFormat="1" ht="83.4" customHeight="1">
      <c r="A2" s="364"/>
      <c r="B2" s="364" t="s">
        <v>22</v>
      </c>
      <c r="C2" s="364" t="s">
        <v>405</v>
      </c>
      <c r="D2" s="365" t="s">
        <v>384</v>
      </c>
      <c r="E2" s="365" t="s">
        <v>385</v>
      </c>
      <c r="F2" s="365" t="s">
        <v>386</v>
      </c>
      <c r="G2" s="365" t="s">
        <v>387</v>
      </c>
      <c r="H2" s="365" t="s">
        <v>388</v>
      </c>
      <c r="I2" s="365" t="s">
        <v>389</v>
      </c>
      <c r="J2" s="365" t="s">
        <v>390</v>
      </c>
      <c r="K2" s="365" t="s">
        <v>391</v>
      </c>
      <c r="L2" s="365" t="s">
        <v>392</v>
      </c>
      <c r="M2" s="365" t="s">
        <v>393</v>
      </c>
      <c r="N2" s="365" t="s">
        <v>394</v>
      </c>
      <c r="O2" s="365" t="s">
        <v>395</v>
      </c>
    </row>
    <row r="3" spans="1:16" s="366" customFormat="1">
      <c r="A3" s="364"/>
      <c r="B3" s="364"/>
      <c r="C3" s="364"/>
      <c r="D3" s="364" t="s">
        <v>396</v>
      </c>
      <c r="E3" s="364" t="s">
        <v>397</v>
      </c>
      <c r="F3" s="364" t="s">
        <v>398</v>
      </c>
      <c r="G3" s="364"/>
      <c r="H3" s="364"/>
      <c r="I3" s="364"/>
      <c r="J3" s="364"/>
      <c r="K3" s="364"/>
      <c r="L3" s="364"/>
      <c r="M3" s="364" t="s">
        <v>399</v>
      </c>
      <c r="N3" s="364"/>
      <c r="O3" s="364"/>
    </row>
    <row r="4" spans="1:16" s="367" customFormat="1">
      <c r="B4" s="227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5" spans="1:16">
      <c r="A5" s="1"/>
      <c r="B5" s="211" t="s">
        <v>44</v>
      </c>
      <c r="C5" s="1" t="s">
        <v>293</v>
      </c>
      <c r="D5" s="368">
        <f>'Parafiini hoiustamine'!F86</f>
        <v>6493.5064935064929</v>
      </c>
      <c r="E5" s="210">
        <f>'Parafiini hoiustamine'!K4</f>
        <v>6.3300750091487043E-2</v>
      </c>
      <c r="F5" s="1">
        <v>0</v>
      </c>
      <c r="G5" s="369">
        <v>0.06</v>
      </c>
      <c r="H5" s="25">
        <v>33</v>
      </c>
      <c r="I5" s="210">
        <f>H5/3600</f>
        <v>9.1666666666666667E-3</v>
      </c>
      <c r="J5" s="370">
        <f>(4*I5)/(3.14*G5*G5)</f>
        <v>3.2436895494220335</v>
      </c>
      <c r="K5" s="368">
        <f>D5/H5</f>
        <v>196.77292404565131</v>
      </c>
      <c r="L5" s="437">
        <f>H5*E5*(1-(F5/100))*1000/3600</f>
        <v>0.58025687583863117</v>
      </c>
      <c r="M5" s="230">
        <f>(D5*E5*1)/1000</f>
        <v>0.41104383176290282</v>
      </c>
      <c r="N5" s="438">
        <f>O5*1000000/(3600*K5)</f>
        <v>1.7407706275158936E-2</v>
      </c>
      <c r="O5" s="437">
        <f>M5*$U$17</f>
        <v>1.2331314952887085E-2</v>
      </c>
    </row>
    <row r="6" spans="1:16" ht="15" thickBot="1"/>
    <row r="7" spans="1:16">
      <c r="A7" s="259" t="s">
        <v>400</v>
      </c>
      <c r="B7" s="372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</row>
    <row r="8" spans="1:16" ht="15.6">
      <c r="A8" s="373" t="s">
        <v>401</v>
      </c>
      <c r="B8" s="374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6">
      <c r="A9" s="262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431"/>
    </row>
    <row r="10" spans="1:16">
      <c r="A10" s="262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78"/>
    </row>
    <row r="11" spans="1:16">
      <c r="A11" s="262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78"/>
    </row>
    <row r="12" spans="1:16" ht="16.2">
      <c r="A12" s="490" t="s">
        <v>283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32"/>
    </row>
    <row r="13" spans="1:16" ht="16.8">
      <c r="A13" s="490" t="s">
        <v>285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33"/>
    </row>
    <row r="14" spans="1:16" ht="15" thickBot="1">
      <c r="A14" s="492" t="s">
        <v>286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264"/>
    </row>
    <row r="15" spans="1:16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>
      <c r="A16" s="376" t="s">
        <v>402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21">
      <c r="A17" s="377" t="s">
        <v>403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N17" s="67"/>
      <c r="U17">
        <v>0.03</v>
      </c>
    </row>
    <row r="18" spans="1:2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2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21">
      <c r="A20" s="67"/>
      <c r="B20" s="67"/>
      <c r="C20" s="67"/>
      <c r="D20" s="67"/>
      <c r="E20" s="67"/>
      <c r="F20" s="67"/>
      <c r="G20" s="371"/>
      <c r="H20" s="371"/>
      <c r="I20" s="371"/>
      <c r="J20" s="67"/>
      <c r="K20" s="67"/>
      <c r="L20" s="67"/>
      <c r="M20" s="67"/>
      <c r="N20" s="67"/>
    </row>
    <row r="21" spans="1:21">
      <c r="A21" s="67"/>
      <c r="B21" s="67"/>
      <c r="C21" s="67"/>
      <c r="G21" s="106"/>
      <c r="H21" s="434"/>
      <c r="I21" s="435"/>
      <c r="J21" s="67"/>
      <c r="K21" s="378"/>
      <c r="L21" s="67"/>
      <c r="M21" s="67"/>
      <c r="N21" s="67"/>
    </row>
    <row r="22" spans="1:21">
      <c r="G22" s="106"/>
      <c r="H22" s="106"/>
      <c r="I22" s="435"/>
    </row>
    <row r="23" spans="1:21">
      <c r="G23" s="106"/>
      <c r="H23" s="436"/>
      <c r="I23" s="435"/>
      <c r="K23" s="379"/>
    </row>
    <row r="24" spans="1:21">
      <c r="G24" s="106"/>
      <c r="H24" s="436"/>
      <c r="I24" s="435"/>
    </row>
    <row r="25" spans="1:21">
      <c r="G25" s="106"/>
      <c r="H25" s="106"/>
      <c r="I25" s="106"/>
    </row>
    <row r="26" spans="1:21">
      <c r="G26" s="106"/>
      <c r="H26" s="106"/>
      <c r="I26" s="106"/>
    </row>
  </sheetData>
  <mergeCells count="3">
    <mergeCell ref="A12:O12"/>
    <mergeCell ref="A13:O13"/>
    <mergeCell ref="A14:O14"/>
  </mergeCells>
  <pageMargins left="0.7" right="0.7" top="0.75" bottom="0.75" header="0.3" footer="0.3"/>
  <pageSetup paperSize="2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13</vt:i4>
      </vt:variant>
      <vt:variant>
        <vt:lpstr>Nimega vahemikud</vt:lpstr>
      </vt:variant>
      <vt:variant>
        <vt:i4>3</vt:i4>
      </vt:variant>
    </vt:vector>
  </HeadingPairs>
  <TitlesOfParts>
    <vt:vector size="16" baseType="lpstr">
      <vt:lpstr>Deklaratsioon</vt:lpstr>
      <vt:lpstr>Kogused</vt:lpstr>
      <vt:lpstr>LOÜ</vt:lpstr>
      <vt:lpstr>Lahustid</vt:lpstr>
      <vt:lpstr>K1 Põletusseade </vt:lpstr>
      <vt:lpstr>Piirvääruse arvutus</vt:lpstr>
      <vt:lpstr>Kiirused</vt:lpstr>
      <vt:lpstr>Puidu tolm</vt:lpstr>
      <vt:lpstr>Parafiini laadimine mahutitesse</vt:lpstr>
      <vt:lpstr>Parafiini hoiustamine</vt:lpstr>
      <vt:lpstr>Naabrid</vt:lpstr>
      <vt:lpstr>Koond</vt:lpstr>
      <vt:lpstr>Sheet1</vt:lpstr>
      <vt:lpstr>'Puidu tolm'!_ftnref1</vt:lpstr>
      <vt:lpstr>'Parafiini laadimine mahutitesse'!para8</vt:lpstr>
      <vt:lpstr>'Parafiini laadimine mahutitesse'!para8lg1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</dc:creator>
  <cp:lastModifiedBy>Ain</cp:lastModifiedBy>
  <dcterms:created xsi:type="dcterms:W3CDTF">2022-06-09T10:32:41Z</dcterms:created>
  <dcterms:modified xsi:type="dcterms:W3CDTF">2022-06-29T11:37:19Z</dcterms:modified>
</cp:coreProperties>
</file>