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30660" windowHeight="13776" tabRatio="762"/>
  </bookViews>
  <sheets>
    <sheet name="Algandmed" sheetId="3" r:id="rId1"/>
    <sheet name="K1 Gaasi ja vedelkütusekatlad" sheetId="2" r:id="rId2"/>
    <sheet name="K2 Gaasi ja vedelkütusekatl" sheetId="10" r:id="rId3"/>
    <sheet name="K3 Tahkekütusekatel" sheetId="1" r:id="rId4"/>
    <sheet name="Kiirused" sheetId="9" r:id="rId5"/>
    <sheet name="Mahuti PKÕ" sheetId="5" r:id="rId6"/>
    <sheet name="Mahuti KKÕ" sheetId="11" r:id="rId7"/>
    <sheet name="Mahuti DK" sheetId="12" r:id="rId8"/>
    <sheet name="Mahuti RKÕ" sheetId="13" r:id="rId9"/>
    <sheet name="Mahutid koond" sheetId="14" r:id="rId10"/>
    <sheet name="Koond" sheetId="4" r:id="rId11"/>
    <sheet name="Naabrid ja koosmõju" sheetId="7" r:id="rId12"/>
  </sheets>
  <externalReferences>
    <externalReference r:id="rId13"/>
    <externalReference r:id="rId14"/>
    <externalReference r:id="rId15"/>
    <externalReference r:id="rId16"/>
  </externalReferences>
  <definedNames>
    <definedName name="max" localSheetId="1">[1]lahustid!#REF!</definedName>
    <definedName name="max" localSheetId="2">[1]lahustid!#REF!</definedName>
    <definedName name="max" localSheetId="7">#REF!</definedName>
    <definedName name="max" localSheetId="6">#REF!</definedName>
    <definedName name="max" localSheetId="5">#REF!</definedName>
    <definedName name="max" localSheetId="8">#REF!</definedName>
    <definedName name="max">[1]lahustid!#REF!</definedName>
    <definedName name="para3lg2" localSheetId="7">'Mahuti DK'!#REF!</definedName>
    <definedName name="para3lg2" localSheetId="6">'Mahuti KKÕ'!#REF!</definedName>
    <definedName name="para3lg2" localSheetId="5">'Mahuti PKÕ'!#REF!</definedName>
    <definedName name="para3lg2" localSheetId="8">'Mahuti RKÕ'!#REF!</definedName>
    <definedName name="para3lg3" localSheetId="7">'Mahuti DK'!$A$67</definedName>
    <definedName name="para3lg3" localSheetId="6">'Mahuti KKÕ'!$A$67</definedName>
    <definedName name="para3lg3" localSheetId="5">'Mahuti PKÕ'!$A$67</definedName>
    <definedName name="para3lg3" localSheetId="8">'Mahuti RKÕ'!$A$67</definedName>
    <definedName name="para3lg4" localSheetId="7">'Mahuti DK'!$A$75</definedName>
    <definedName name="para3lg4" localSheetId="6">'Mahuti KKÕ'!$A$75</definedName>
    <definedName name="para3lg4" localSheetId="5">'Mahuti PKÕ'!$A$75</definedName>
    <definedName name="para3lg4" localSheetId="8">'Mahuti RKÕ'!$A$75</definedName>
    <definedName name="para8lg2" localSheetId="7">'Mahuti DK'!$A$84</definedName>
    <definedName name="para8lg2" localSheetId="6">'Mahuti KKÕ'!$A$84</definedName>
    <definedName name="para8lg2" localSheetId="5">'Mahuti PKÕ'!$A$84</definedName>
    <definedName name="para8lg2" localSheetId="8">'Mahuti RKÕ'!$A$84</definedName>
  </definedNames>
  <calcPr calcId="125725"/>
</workbook>
</file>

<file path=xl/calcChain.xml><?xml version="1.0" encoding="utf-8"?>
<calcChain xmlns="http://schemas.openxmlformats.org/spreadsheetml/2006/main">
  <c r="P20" i="1"/>
  <c r="O20"/>
  <c r="G46" i="3"/>
  <c r="H4" i="13"/>
  <c r="J34" s="1"/>
  <c r="J60" s="1"/>
  <c r="H1"/>
  <c r="K14" s="1"/>
  <c r="L14" s="1"/>
  <c r="J80"/>
  <c r="J74"/>
  <c r="J72"/>
  <c r="J78" s="1"/>
  <c r="J76" s="1"/>
  <c r="J64" s="1"/>
  <c r="J44"/>
  <c r="J43"/>
  <c r="J79" s="1"/>
  <c r="J42"/>
  <c r="J41" s="1"/>
  <c r="J37"/>
  <c r="J63" s="1"/>
  <c r="L36"/>
  <c r="L25"/>
  <c r="K25"/>
  <c r="K36" s="1"/>
  <c r="G14"/>
  <c r="J71" s="1"/>
  <c r="J69" s="1"/>
  <c r="E14"/>
  <c r="E15" s="1"/>
  <c r="D17" s="1"/>
  <c r="E17" s="1"/>
  <c r="H4" i="12"/>
  <c r="J34" s="1"/>
  <c r="H1"/>
  <c r="K14" s="1"/>
  <c r="L14" s="1"/>
  <c r="J80"/>
  <c r="J78"/>
  <c r="J74"/>
  <c r="J72"/>
  <c r="J71"/>
  <c r="J69" s="1"/>
  <c r="J63"/>
  <c r="J44"/>
  <c r="J43"/>
  <c r="J79" s="1"/>
  <c r="J42"/>
  <c r="J41" s="1"/>
  <c r="J37"/>
  <c r="L36"/>
  <c r="K36"/>
  <c r="L25"/>
  <c r="K25"/>
  <c r="G14"/>
  <c r="E14"/>
  <c r="E15" s="1"/>
  <c r="D17" s="1"/>
  <c r="E17" s="1"/>
  <c r="H4" i="11"/>
  <c r="J34" s="1"/>
  <c r="H1"/>
  <c r="K14" s="1"/>
  <c r="L14" s="1"/>
  <c r="J78"/>
  <c r="J76" s="1"/>
  <c r="J64" s="1"/>
  <c r="J74"/>
  <c r="J72"/>
  <c r="J63"/>
  <c r="J44"/>
  <c r="J80" s="1"/>
  <c r="J43"/>
  <c r="J79" s="1"/>
  <c r="J42"/>
  <c r="J41" s="1"/>
  <c r="J37"/>
  <c r="L25"/>
  <c r="K25"/>
  <c r="D17"/>
  <c r="E17" s="1"/>
  <c r="E15"/>
  <c r="G14"/>
  <c r="J71" s="1"/>
  <c r="E14"/>
  <c r="J52" i="13" l="1"/>
  <c r="J62"/>
  <c r="J58" s="1"/>
  <c r="K21"/>
  <c r="P18" s="1"/>
  <c r="H14"/>
  <c r="J24"/>
  <c r="J61"/>
  <c r="J35"/>
  <c r="J24" i="12"/>
  <c r="H14"/>
  <c r="J76"/>
  <c r="J64" s="1"/>
  <c r="J60"/>
  <c r="J61"/>
  <c r="J35"/>
  <c r="L32" s="1"/>
  <c r="P27" s="1"/>
  <c r="Q27" s="1"/>
  <c r="O27" s="1"/>
  <c r="J62"/>
  <c r="J52"/>
  <c r="J69" i="11"/>
  <c r="J62" s="1"/>
  <c r="L21"/>
  <c r="P19" s="1"/>
  <c r="H14"/>
  <c r="J24"/>
  <c r="J51" s="1"/>
  <c r="J60"/>
  <c r="J35"/>
  <c r="K32" s="1"/>
  <c r="P26" s="1"/>
  <c r="Q26" s="1"/>
  <c r="O26" s="1"/>
  <c r="J61"/>
  <c r="L36"/>
  <c r="K36"/>
  <c r="K21" l="1"/>
  <c r="P18" s="1"/>
  <c r="Q18" s="1"/>
  <c r="O18" s="1"/>
  <c r="O33" s="1"/>
  <c r="E5" i="14" s="1"/>
  <c r="P25" i="13"/>
  <c r="F88"/>
  <c r="P28" s="1"/>
  <c r="Q28" s="1"/>
  <c r="O28" s="1"/>
  <c r="L32"/>
  <c r="P27" s="1"/>
  <c r="Q27" s="1"/>
  <c r="O27" s="1"/>
  <c r="K32"/>
  <c r="P26" s="1"/>
  <c r="Q26" s="1"/>
  <c r="O26" s="1"/>
  <c r="Q18"/>
  <c r="J51"/>
  <c r="J49" s="1"/>
  <c r="L21"/>
  <c r="P19" s="1"/>
  <c r="R19"/>
  <c r="R17"/>
  <c r="R20"/>
  <c r="R18"/>
  <c r="K32" i="12"/>
  <c r="P26" s="1"/>
  <c r="Q26" s="1"/>
  <c r="O26" s="1"/>
  <c r="J58"/>
  <c r="K21"/>
  <c r="P18" s="1"/>
  <c r="J51"/>
  <c r="J49" s="1"/>
  <c r="L21"/>
  <c r="P19" s="1"/>
  <c r="R19"/>
  <c r="R17"/>
  <c r="R20"/>
  <c r="R18"/>
  <c r="J49" i="11"/>
  <c r="P17" s="1"/>
  <c r="Q17" s="1"/>
  <c r="J52"/>
  <c r="R20"/>
  <c r="R18"/>
  <c r="R17"/>
  <c r="R19"/>
  <c r="Q19"/>
  <c r="L32"/>
  <c r="P27" s="1"/>
  <c r="Q27" s="1"/>
  <c r="O27" s="1"/>
  <c r="J58"/>
  <c r="P33" l="1"/>
  <c r="O18" i="13"/>
  <c r="O33" s="1"/>
  <c r="I5" i="14" s="1"/>
  <c r="P33" i="13"/>
  <c r="P34"/>
  <c r="Q19"/>
  <c r="O19" s="1"/>
  <c r="O34" s="1"/>
  <c r="I6" i="14" s="1"/>
  <c r="Q25" i="13"/>
  <c r="O25" s="1"/>
  <c r="E88"/>
  <c r="P20" s="1"/>
  <c r="P17"/>
  <c r="Q17" s="1"/>
  <c r="O17" s="1"/>
  <c r="P25" i="12"/>
  <c r="F88"/>
  <c r="P28" s="1"/>
  <c r="Q28" s="1"/>
  <c r="O28" s="1"/>
  <c r="P34"/>
  <c r="Q19"/>
  <c r="O19" s="1"/>
  <c r="O34" s="1"/>
  <c r="G6" i="14" s="1"/>
  <c r="Q18" i="12"/>
  <c r="O18" s="1"/>
  <c r="O33" s="1"/>
  <c r="G5" i="14" s="1"/>
  <c r="P33" i="12"/>
  <c r="P17"/>
  <c r="Q17" s="1"/>
  <c r="O17" s="1"/>
  <c r="E88"/>
  <c r="P20" s="1"/>
  <c r="E88" i="11"/>
  <c r="P20" s="1"/>
  <c r="Q20" s="1"/>
  <c r="O20" s="1"/>
  <c r="P25"/>
  <c r="F88"/>
  <c r="P28" s="1"/>
  <c r="Q28" s="1"/>
  <c r="O28" s="1"/>
  <c r="O17"/>
  <c r="O19"/>
  <c r="O34" s="1"/>
  <c r="E6" i="14" s="1"/>
  <c r="P34" i="11"/>
  <c r="Q34" i="12" l="1"/>
  <c r="H6" i="14"/>
  <c r="Q34" i="13"/>
  <c r="J6" i="14"/>
  <c r="Q33" i="13"/>
  <c r="J5" i="14"/>
  <c r="Q33" i="11"/>
  <c r="F5" i="14"/>
  <c r="Q34" i="11"/>
  <c r="F6" i="14"/>
  <c r="Q33" i="12"/>
  <c r="H5" i="14"/>
  <c r="P32" i="13"/>
  <c r="Q20"/>
  <c r="O20" s="1"/>
  <c r="O35" s="1"/>
  <c r="I7" i="14" s="1"/>
  <c r="P35" i="13"/>
  <c r="O32"/>
  <c r="I4" i="14" s="1"/>
  <c r="Q20" i="12"/>
  <c r="O20" s="1"/>
  <c r="O35" s="1"/>
  <c r="G7" i="14" s="1"/>
  <c r="P35" i="12"/>
  <c r="P32"/>
  <c r="Q25"/>
  <c r="O25" s="1"/>
  <c r="O32" s="1"/>
  <c r="G4" i="14" s="1"/>
  <c r="Q25" i="11"/>
  <c r="O25" s="1"/>
  <c r="O32" s="1"/>
  <c r="E4" i="14" s="1"/>
  <c r="P32" i="11"/>
  <c r="P35"/>
  <c r="O35"/>
  <c r="E7" i="14" s="1"/>
  <c r="Q35" i="12" l="1"/>
  <c r="H7" i="14"/>
  <c r="Q32" i="12"/>
  <c r="H4" i="14"/>
  <c r="Q32" i="13"/>
  <c r="J4" i="14"/>
  <c r="Q32" i="11"/>
  <c r="F4" i="14"/>
  <c r="Q35" i="11"/>
  <c r="F7" i="14"/>
  <c r="Q35" i="13"/>
  <c r="J7" i="14"/>
  <c r="E4" i="9"/>
  <c r="E14"/>
  <c r="E21"/>
  <c r="E11"/>
  <c r="E1"/>
  <c r="E3" s="1"/>
  <c r="L25" i="5"/>
  <c r="K25"/>
  <c r="J74"/>
  <c r="J72"/>
  <c r="J44"/>
  <c r="E14"/>
  <c r="H1"/>
  <c r="K14" s="1"/>
  <c r="J37"/>
  <c r="H4"/>
  <c r="J34" s="1"/>
  <c r="J60" s="1"/>
  <c r="G14"/>
  <c r="C19" i="3"/>
  <c r="F33"/>
  <c r="F32"/>
  <c r="F31"/>
  <c r="F30"/>
  <c r="F29"/>
  <c r="U4" i="10"/>
  <c r="Q4"/>
  <c r="Q4" i="2"/>
  <c r="M4" i="10"/>
  <c r="M37" s="1"/>
  <c r="N10" s="1"/>
  <c r="I4"/>
  <c r="I37" s="1"/>
  <c r="J10" s="1"/>
  <c r="E4"/>
  <c r="E3"/>
  <c r="E21" s="1"/>
  <c r="B36"/>
  <c r="U5"/>
  <c r="Q5"/>
  <c r="M5"/>
  <c r="I5"/>
  <c r="E5"/>
  <c r="E2" l="1"/>
  <c r="F29" s="1"/>
  <c r="U2"/>
  <c r="V29" s="1"/>
  <c r="Q2"/>
  <c r="Q35" s="1"/>
  <c r="Q36" s="1"/>
  <c r="R30" s="1"/>
  <c r="U37"/>
  <c r="V10" s="1"/>
  <c r="Q37"/>
  <c r="R10" s="1"/>
  <c r="E15"/>
  <c r="E13"/>
  <c r="E29"/>
  <c r="I3"/>
  <c r="I23" s="1"/>
  <c r="E11"/>
  <c r="E27"/>
  <c r="E19"/>
  <c r="E25"/>
  <c r="E9"/>
  <c r="E23"/>
  <c r="E17"/>
  <c r="E7"/>
  <c r="M2"/>
  <c r="M3"/>
  <c r="E8"/>
  <c r="E10"/>
  <c r="E12"/>
  <c r="E14"/>
  <c r="E16"/>
  <c r="E18"/>
  <c r="E20"/>
  <c r="E22"/>
  <c r="E24"/>
  <c r="E26"/>
  <c r="E28"/>
  <c r="R18"/>
  <c r="I2"/>
  <c r="R28" l="1"/>
  <c r="F18"/>
  <c r="F23"/>
  <c r="R11"/>
  <c r="F16"/>
  <c r="I17"/>
  <c r="F11"/>
  <c r="R21"/>
  <c r="F7"/>
  <c r="U35"/>
  <c r="U36" s="1"/>
  <c r="V30" s="1"/>
  <c r="F12"/>
  <c r="F10"/>
  <c r="Y10" s="1"/>
  <c r="F6" i="4" s="1"/>
  <c r="I20" i="10"/>
  <c r="I28"/>
  <c r="R12"/>
  <c r="V8"/>
  <c r="F28"/>
  <c r="I12"/>
  <c r="I18"/>
  <c r="R9"/>
  <c r="V13"/>
  <c r="V12"/>
  <c r="F26"/>
  <c r="F27"/>
  <c r="F17"/>
  <c r="F9"/>
  <c r="R14"/>
  <c r="V15"/>
  <c r="R16"/>
  <c r="V26"/>
  <c r="F20"/>
  <c r="F25"/>
  <c r="F14"/>
  <c r="B34"/>
  <c r="B35" s="1"/>
  <c r="F30" s="1"/>
  <c r="F21"/>
  <c r="I16"/>
  <c r="I21"/>
  <c r="F19"/>
  <c r="I14"/>
  <c r="I19"/>
  <c r="F8"/>
  <c r="F24"/>
  <c r="F15"/>
  <c r="I8"/>
  <c r="I15"/>
  <c r="F22"/>
  <c r="F13"/>
  <c r="I24"/>
  <c r="V28"/>
  <c r="V14"/>
  <c r="V19"/>
  <c r="V18"/>
  <c r="U32"/>
  <c r="V16"/>
  <c r="V21"/>
  <c r="R20"/>
  <c r="R13"/>
  <c r="V23"/>
  <c r="V7"/>
  <c r="R22"/>
  <c r="R15"/>
  <c r="R19"/>
  <c r="V20"/>
  <c r="R7"/>
  <c r="Q32"/>
  <c r="V25"/>
  <c r="V9"/>
  <c r="R24"/>
  <c r="R17"/>
  <c r="R23"/>
  <c r="V22"/>
  <c r="R27"/>
  <c r="V17"/>
  <c r="V27"/>
  <c r="V11"/>
  <c r="R26"/>
  <c r="R8"/>
  <c r="R25"/>
  <c r="V24"/>
  <c r="R29"/>
  <c r="I29"/>
  <c r="I11"/>
  <c r="I26"/>
  <c r="I13"/>
  <c r="I38"/>
  <c r="I10" s="1"/>
  <c r="I27"/>
  <c r="Q3"/>
  <c r="Q22" s="1"/>
  <c r="I9"/>
  <c r="I25"/>
  <c r="I22"/>
  <c r="I7"/>
  <c r="I32"/>
  <c r="I35"/>
  <c r="I36" s="1"/>
  <c r="J30" s="1"/>
  <c r="J29"/>
  <c r="J27"/>
  <c r="J25"/>
  <c r="J23"/>
  <c r="J21"/>
  <c r="J19"/>
  <c r="J17"/>
  <c r="J15"/>
  <c r="J13"/>
  <c r="J11"/>
  <c r="J9"/>
  <c r="J7"/>
  <c r="J20"/>
  <c r="J28"/>
  <c r="J8"/>
  <c r="J26"/>
  <c r="J24"/>
  <c r="J22"/>
  <c r="J18"/>
  <c r="J16"/>
  <c r="J14"/>
  <c r="J12"/>
  <c r="M35"/>
  <c r="M36" s="1"/>
  <c r="N30" s="1"/>
  <c r="N28"/>
  <c r="N26"/>
  <c r="N24"/>
  <c r="N22"/>
  <c r="N20"/>
  <c r="N18"/>
  <c r="N16"/>
  <c r="N14"/>
  <c r="N12"/>
  <c r="N8"/>
  <c r="M32"/>
  <c r="N29"/>
  <c r="N27"/>
  <c r="N25"/>
  <c r="N23"/>
  <c r="N21"/>
  <c r="N19"/>
  <c r="N17"/>
  <c r="N15"/>
  <c r="N13"/>
  <c r="N11"/>
  <c r="N9"/>
  <c r="N7"/>
  <c r="Q20"/>
  <c r="Q13"/>
  <c r="Q11"/>
  <c r="Q17"/>
  <c r="M12"/>
  <c r="M24"/>
  <c r="M18"/>
  <c r="M29"/>
  <c r="M27"/>
  <c r="M25"/>
  <c r="M23"/>
  <c r="M21"/>
  <c r="M19"/>
  <c r="M17"/>
  <c r="M15"/>
  <c r="M13"/>
  <c r="M11"/>
  <c r="M9"/>
  <c r="M7"/>
  <c r="M16"/>
  <c r="M38"/>
  <c r="M10" s="1"/>
  <c r="U3"/>
  <c r="M28"/>
  <c r="M26"/>
  <c r="M22"/>
  <c r="M20"/>
  <c r="M14"/>
  <c r="M8"/>
  <c r="Y29" l="1"/>
  <c r="F25" i="4" s="1"/>
  <c r="Y7" i="10"/>
  <c r="F3" i="4" s="1"/>
  <c r="Y24" i="10"/>
  <c r="F20" i="4" s="1"/>
  <c r="Q19" i="10"/>
  <c r="Y9"/>
  <c r="F5" i="4" s="1"/>
  <c r="Y21" i="10"/>
  <c r="F17" i="4" s="1"/>
  <c r="Y12" i="10"/>
  <c r="F8" i="4" s="1"/>
  <c r="Q24" i="10"/>
  <c r="Q9"/>
  <c r="Q18"/>
  <c r="Y22"/>
  <c r="F18" i="4" s="1"/>
  <c r="Q14" i="10"/>
  <c r="Q16"/>
  <c r="Y25"/>
  <c r="F21" i="4" s="1"/>
  <c r="Y18" i="10"/>
  <c r="F14" i="4" s="1"/>
  <c r="Q12" i="10"/>
  <c r="Y28"/>
  <c r="F24" i="4" s="1"/>
  <c r="Y19" i="10"/>
  <c r="F15" i="4" s="1"/>
  <c r="Q38" i="10"/>
  <c r="Q10" s="1"/>
  <c r="Q8"/>
  <c r="Q28"/>
  <c r="Q7"/>
  <c r="Q23"/>
  <c r="Y14"/>
  <c r="F10" i="4" s="1"/>
  <c r="Q21" i="10"/>
  <c r="Q27"/>
  <c r="Q25"/>
  <c r="Q26"/>
  <c r="Y13"/>
  <c r="F9" i="4" s="1"/>
  <c r="Y20" i="10"/>
  <c r="F16" i="4" s="1"/>
  <c r="Y11" i="10"/>
  <c r="F7" i="4" s="1"/>
  <c r="Y27" i="10"/>
  <c r="F23" i="4" s="1"/>
  <c r="Y23" i="10"/>
  <c r="F19" i="4" s="1"/>
  <c r="Y8" i="10"/>
  <c r="F4" i="4" s="1"/>
  <c r="Y17" i="10"/>
  <c r="F13" i="4" s="1"/>
  <c r="Y26" i="10"/>
  <c r="F22" i="4" s="1"/>
  <c r="Y15" i="10"/>
  <c r="F11" i="4" s="1"/>
  <c r="Y30" i="10"/>
  <c r="F26" i="4" s="1"/>
  <c r="Y16" i="10"/>
  <c r="F12" i="4" s="1"/>
  <c r="Q29" i="10"/>
  <c r="Q15"/>
  <c r="U25"/>
  <c r="X25" s="1"/>
  <c r="E21" i="4" s="1"/>
  <c r="U19" i="10"/>
  <c r="U9"/>
  <c r="U27"/>
  <c r="U21"/>
  <c r="U15"/>
  <c r="U28"/>
  <c r="U26"/>
  <c r="U24"/>
  <c r="X24" s="1"/>
  <c r="E20" i="4" s="1"/>
  <c r="U22" i="10"/>
  <c r="X22" s="1"/>
  <c r="E18" i="4" s="1"/>
  <c r="U20" i="10"/>
  <c r="X20" s="1"/>
  <c r="E16" i="4" s="1"/>
  <c r="U18" i="10"/>
  <c r="U16"/>
  <c r="U14"/>
  <c r="U12"/>
  <c r="X12" s="1"/>
  <c r="E8" i="4" s="1"/>
  <c r="U8" i="10"/>
  <c r="U38"/>
  <c r="U10" s="1"/>
  <c r="X10" s="1"/>
  <c r="E6" i="4" s="1"/>
  <c r="U17" i="10"/>
  <c r="X17" s="1"/>
  <c r="E13" i="4" s="1"/>
  <c r="U13" i="10"/>
  <c r="X13" s="1"/>
  <c r="E9" i="4" s="1"/>
  <c r="U11" i="10"/>
  <c r="X11" s="1"/>
  <c r="E7" i="4" s="1"/>
  <c r="U7" i="10"/>
  <c r="U29"/>
  <c r="U23"/>
  <c r="X16" l="1"/>
  <c r="E12" i="4" s="1"/>
  <c r="X7" i="10"/>
  <c r="E3" i="4" s="1"/>
  <c r="X19" i="10"/>
  <c r="E15" i="4" s="1"/>
  <c r="X23" i="10"/>
  <c r="E19" i="4" s="1"/>
  <c r="X28" i="10"/>
  <c r="E24" i="4" s="1"/>
  <c r="X29" i="10"/>
  <c r="E25" i="4" s="1"/>
  <c r="X8" i="10"/>
  <c r="E4" i="4" s="1"/>
  <c r="X26" i="10"/>
  <c r="E22" i="4" s="1"/>
  <c r="X9" i="10"/>
  <c r="E5" i="4" s="1"/>
  <c r="X18" i="10"/>
  <c r="E14" i="4" s="1"/>
  <c r="X27" i="10"/>
  <c r="E23" i="4" s="1"/>
  <c r="X21" i="10"/>
  <c r="E17" i="4" s="1"/>
  <c r="X14" i="10"/>
  <c r="E10" i="4" s="1"/>
  <c r="X15" i="10"/>
  <c r="E11" i="4" s="1"/>
  <c r="E3" i="1" l="1"/>
  <c r="U4" i="2"/>
  <c r="I4" l="1"/>
  <c r="M4"/>
  <c r="E8" l="1"/>
  <c r="U5"/>
  <c r="Q5"/>
  <c r="U37"/>
  <c r="V10" s="1"/>
  <c r="Q37"/>
  <c r="R10" s="1"/>
  <c r="E3"/>
  <c r="E13" s="1"/>
  <c r="E9" l="1"/>
  <c r="E18"/>
  <c r="E22"/>
  <c r="E23"/>
  <c r="E16"/>
  <c r="E24"/>
  <c r="E10"/>
  <c r="E25"/>
  <c r="E14"/>
  <c r="E26"/>
  <c r="E15"/>
  <c r="E7"/>
  <c r="E17"/>
  <c r="E27"/>
  <c r="E19"/>
  <c r="E11"/>
  <c r="E28"/>
  <c r="E20"/>
  <c r="E12"/>
  <c r="E29"/>
  <c r="E21"/>
  <c r="U2"/>
  <c r="Q2"/>
  <c r="E24" i="9"/>
  <c r="E23"/>
  <c r="E29" l="1"/>
  <c r="E25"/>
  <c r="E27" s="1"/>
  <c r="R13" i="2"/>
  <c r="R21"/>
  <c r="R29"/>
  <c r="R12"/>
  <c r="R20"/>
  <c r="R28"/>
  <c r="R22"/>
  <c r="R11"/>
  <c r="R19"/>
  <c r="R27"/>
  <c r="R9"/>
  <c r="R18"/>
  <c r="R26"/>
  <c r="R16"/>
  <c r="R8"/>
  <c r="R17"/>
  <c r="R25"/>
  <c r="R24"/>
  <c r="R7"/>
  <c r="R15"/>
  <c r="R23"/>
  <c r="R14"/>
  <c r="V9"/>
  <c r="V18"/>
  <c r="V26"/>
  <c r="V23"/>
  <c r="V14"/>
  <c r="V7"/>
  <c r="V21"/>
  <c r="V11"/>
  <c r="V8"/>
  <c r="V17"/>
  <c r="V25"/>
  <c r="V15"/>
  <c r="V22"/>
  <c r="V12"/>
  <c r="V16"/>
  <c r="V24"/>
  <c r="V13"/>
  <c r="V28"/>
  <c r="V29"/>
  <c r="V27"/>
  <c r="V20"/>
  <c r="V19"/>
  <c r="U32"/>
  <c r="U35"/>
  <c r="U36" s="1"/>
  <c r="V30" s="1"/>
  <c r="Q32"/>
  <c r="Q35"/>
  <c r="Q36" s="1"/>
  <c r="R30" s="1"/>
  <c r="E13" i="9"/>
  <c r="E15" s="1"/>
  <c r="E17" s="1"/>
  <c r="E19" s="1"/>
  <c r="E5"/>
  <c r="E7" s="1"/>
  <c r="E9" s="1"/>
  <c r="A11"/>
  <c r="A1"/>
  <c r="L14" i="5" l="1"/>
  <c r="H14" s="1"/>
  <c r="J80"/>
  <c r="J78"/>
  <c r="J71"/>
  <c r="J69" s="1"/>
  <c r="J63"/>
  <c r="L36"/>
  <c r="K36"/>
  <c r="E15"/>
  <c r="D17" s="1"/>
  <c r="E17" s="1"/>
  <c r="J42"/>
  <c r="J41" s="1"/>
  <c r="J43"/>
  <c r="J79" s="1"/>
  <c r="O30" i="1"/>
  <c r="I5"/>
  <c r="E5"/>
  <c r="M5" i="2"/>
  <c r="I5"/>
  <c r="E5"/>
  <c r="J76" i="5" l="1"/>
  <c r="J64" s="1"/>
  <c r="J61"/>
  <c r="J35"/>
  <c r="J24"/>
  <c r="J52"/>
  <c r="J62"/>
  <c r="J58" l="1"/>
  <c r="F88" s="1"/>
  <c r="P28" s="1"/>
  <c r="Q28" s="1"/>
  <c r="O28" s="1"/>
  <c r="K32"/>
  <c r="P26" s="1"/>
  <c r="Q26" s="1"/>
  <c r="O26" s="1"/>
  <c r="L32"/>
  <c r="P27" s="1"/>
  <c r="Q27" s="1"/>
  <c r="O27" s="1"/>
  <c r="R19"/>
  <c r="R17"/>
  <c r="R20"/>
  <c r="R18"/>
  <c r="K21"/>
  <c r="P18" s="1"/>
  <c r="L21"/>
  <c r="P19" s="1"/>
  <c r="J51"/>
  <c r="J49" s="1"/>
  <c r="P25" l="1"/>
  <c r="Q25" s="1"/>
  <c r="O25" s="1"/>
  <c r="P33"/>
  <c r="Q18"/>
  <c r="O18" s="1"/>
  <c r="O33" s="1"/>
  <c r="C5" i="14" s="1"/>
  <c r="K5" s="1"/>
  <c r="P34" i="5"/>
  <c r="Q19"/>
  <c r="O19" s="1"/>
  <c r="O34" s="1"/>
  <c r="C6" i="14" s="1"/>
  <c r="K6" s="1"/>
  <c r="E88" i="5"/>
  <c r="P20" s="1"/>
  <c r="P17"/>
  <c r="Q17" s="1"/>
  <c r="O17" s="1"/>
  <c r="Q33" l="1"/>
  <c r="D5" i="14"/>
  <c r="L5" s="1"/>
  <c r="Q34" i="5"/>
  <c r="D6" i="14"/>
  <c r="L6" s="1"/>
  <c r="P32" i="5"/>
  <c r="Q20"/>
  <c r="O20" s="1"/>
  <c r="O35" s="1"/>
  <c r="C7" i="14" s="1"/>
  <c r="K7" s="1"/>
  <c r="I28" i="4" s="1"/>
  <c r="K28" s="1"/>
  <c r="P9" i="7" s="1"/>
  <c r="P10" s="1"/>
  <c r="P35" i="5"/>
  <c r="O32"/>
  <c r="C4" i="14" s="1"/>
  <c r="K4" s="1"/>
  <c r="I5" i="4" s="1"/>
  <c r="Q32" i="5" l="1"/>
  <c r="D4" i="14"/>
  <c r="L4" s="1"/>
  <c r="J5" i="4" s="1"/>
  <c r="Q35" i="5"/>
  <c r="D7" i="14"/>
  <c r="L7" s="1"/>
  <c r="J28" i="4" s="1"/>
  <c r="L28" s="1"/>
  <c r="I4" i="1"/>
  <c r="E4"/>
  <c r="I3"/>
  <c r="E4" i="2"/>
  <c r="M3"/>
  <c r="I3"/>
  <c r="B36"/>
  <c r="M8" l="1"/>
  <c r="M17"/>
  <c r="M25"/>
  <c r="M16"/>
  <c r="M24"/>
  <c r="M20"/>
  <c r="M15"/>
  <c r="M23"/>
  <c r="M28"/>
  <c r="M18"/>
  <c r="M14"/>
  <c r="M22"/>
  <c r="M7"/>
  <c r="M13"/>
  <c r="M21"/>
  <c r="M29"/>
  <c r="M12"/>
  <c r="M26"/>
  <c r="M11"/>
  <c r="M19"/>
  <c r="M27"/>
  <c r="M9"/>
  <c r="I11"/>
  <c r="I19"/>
  <c r="I27"/>
  <c r="I9"/>
  <c r="I18"/>
  <c r="I26"/>
  <c r="I24"/>
  <c r="I22"/>
  <c r="I28"/>
  <c r="I8"/>
  <c r="I17"/>
  <c r="I25"/>
  <c r="I16"/>
  <c r="I7"/>
  <c r="I12"/>
  <c r="I15"/>
  <c r="I23"/>
  <c r="I14"/>
  <c r="I29"/>
  <c r="I13"/>
  <c r="I21"/>
  <c r="I20"/>
  <c r="M38"/>
  <c r="M10" s="1"/>
  <c r="U3"/>
  <c r="Q3"/>
  <c r="M2"/>
  <c r="M37"/>
  <c r="N10" s="1"/>
  <c r="I37"/>
  <c r="J10" s="1"/>
  <c r="I38"/>
  <c r="I10" s="1"/>
  <c r="E2"/>
  <c r="I2"/>
  <c r="U11" l="1"/>
  <c r="U19"/>
  <c r="U27"/>
  <c r="U9"/>
  <c r="U18"/>
  <c r="U26"/>
  <c r="U8"/>
  <c r="U17"/>
  <c r="U25"/>
  <c r="U22"/>
  <c r="U20"/>
  <c r="U16"/>
  <c r="U24"/>
  <c r="U12"/>
  <c r="U15"/>
  <c r="U23"/>
  <c r="U14"/>
  <c r="X14" s="1"/>
  <c r="C10" i="4" s="1"/>
  <c r="U7" i="2"/>
  <c r="U28"/>
  <c r="U13"/>
  <c r="U21"/>
  <c r="U29"/>
  <c r="U38"/>
  <c r="U10" s="1"/>
  <c r="F12"/>
  <c r="F20"/>
  <c r="F28"/>
  <c r="F11"/>
  <c r="F19"/>
  <c r="F27"/>
  <c r="F17"/>
  <c r="F25"/>
  <c r="F22"/>
  <c r="F10"/>
  <c r="Y10" s="1"/>
  <c r="D6" i="4" s="1"/>
  <c r="F18" i="2"/>
  <c r="F26"/>
  <c r="F15"/>
  <c r="F13"/>
  <c r="F9"/>
  <c r="F8"/>
  <c r="F16"/>
  <c r="F24"/>
  <c r="F23"/>
  <c r="F7"/>
  <c r="F21"/>
  <c r="F14"/>
  <c r="F29"/>
  <c r="Q15"/>
  <c r="X15" s="1"/>
  <c r="C11" i="4" s="1"/>
  <c r="Q23" i="2"/>
  <c r="Q14"/>
  <c r="Q22"/>
  <c r="Q7"/>
  <c r="Q9"/>
  <c r="Q13"/>
  <c r="Q21"/>
  <c r="Q29"/>
  <c r="Q26"/>
  <c r="X26" s="1"/>
  <c r="C22" i="4" s="1"/>
  <c r="Q24" i="2"/>
  <c r="X24" s="1"/>
  <c r="C20" i="4" s="1"/>
  <c r="Q12" i="2"/>
  <c r="Q20"/>
  <c r="Q28"/>
  <c r="Q16"/>
  <c r="Q11"/>
  <c r="Q19"/>
  <c r="Q27"/>
  <c r="X27" s="1"/>
  <c r="C23" i="4" s="1"/>
  <c r="Q18" i="2"/>
  <c r="Q38"/>
  <c r="Q10" s="1"/>
  <c r="X10" s="1"/>
  <c r="C6" i="4" s="1"/>
  <c r="Q8" i="2"/>
  <c r="X8" s="1"/>
  <c r="C4" i="4" s="1"/>
  <c r="Q17" i="2"/>
  <c r="Q25"/>
  <c r="M32"/>
  <c r="N8"/>
  <c r="N17"/>
  <c r="N25"/>
  <c r="N16"/>
  <c r="N24"/>
  <c r="N12"/>
  <c r="N19"/>
  <c r="N15"/>
  <c r="N23"/>
  <c r="N21"/>
  <c r="N28"/>
  <c r="N14"/>
  <c r="N22"/>
  <c r="N7"/>
  <c r="N13"/>
  <c r="N29"/>
  <c r="N20"/>
  <c r="N27"/>
  <c r="N11"/>
  <c r="N9"/>
  <c r="N18"/>
  <c r="N26"/>
  <c r="I35"/>
  <c r="I36" s="1"/>
  <c r="J30" s="1"/>
  <c r="J11"/>
  <c r="J19"/>
  <c r="J27"/>
  <c r="J22"/>
  <c r="J20"/>
  <c r="J9"/>
  <c r="J18"/>
  <c r="J26"/>
  <c r="J28"/>
  <c r="J8"/>
  <c r="J17"/>
  <c r="J25"/>
  <c r="J23"/>
  <c r="J7"/>
  <c r="J16"/>
  <c r="J24"/>
  <c r="J14"/>
  <c r="J12"/>
  <c r="J15"/>
  <c r="J13"/>
  <c r="J21"/>
  <c r="J29"/>
  <c r="M35"/>
  <c r="M36" s="1"/>
  <c r="N30" s="1"/>
  <c r="B34"/>
  <c r="B35" s="1"/>
  <c r="F30" s="1"/>
  <c r="I32"/>
  <c r="X9" l="1"/>
  <c r="C5" i="4" s="1"/>
  <c r="X22" i="2"/>
  <c r="C18" i="4" s="1"/>
  <c r="X20" i="2"/>
  <c r="C16" i="4" s="1"/>
  <c r="X28" i="2"/>
  <c r="C24" i="4" s="1"/>
  <c r="X11" i="2"/>
  <c r="C7" i="4" s="1"/>
  <c r="X21" i="2"/>
  <c r="C17" i="4" s="1"/>
  <c r="Y28" i="2"/>
  <c r="D24" i="4" s="1"/>
  <c r="X19" i="2"/>
  <c r="C15" i="4" s="1"/>
  <c r="X29" i="2"/>
  <c r="C25" i="4" s="1"/>
  <c r="X7" i="2"/>
  <c r="C3" i="4" s="1"/>
  <c r="X18" i="2"/>
  <c r="C14" i="4" s="1"/>
  <c r="X12" i="2"/>
  <c r="C8" i="4" s="1"/>
  <c r="X25" i="2"/>
  <c r="C21" i="4" s="1"/>
  <c r="X16" i="2"/>
  <c r="C12" i="4" s="1"/>
  <c r="X13" i="2"/>
  <c r="C9" i="4" s="1"/>
  <c r="X17" i="2"/>
  <c r="C13" i="4" s="1"/>
  <c r="X23" i="2"/>
  <c r="C19" i="4" s="1"/>
  <c r="Y14" i="2"/>
  <c r="D10" i="4" s="1"/>
  <c r="Y7" i="2"/>
  <c r="D3" i="4" s="1"/>
  <c r="Y11" i="2"/>
  <c r="D7" i="4" s="1"/>
  <c r="Y24" i="2"/>
  <c r="D20" i="4" s="1"/>
  <c r="Y26" i="2"/>
  <c r="D22" i="4" s="1"/>
  <c r="Y30" i="2"/>
  <c r="D26" i="4" s="1"/>
  <c r="Y12" i="2"/>
  <c r="D8" i="4" s="1"/>
  <c r="Y19" i="2"/>
  <c r="D15" i="4" s="1"/>
  <c r="Y13" i="2"/>
  <c r="D9" i="4" s="1"/>
  <c r="Y22" i="2"/>
  <c r="D18" i="4" s="1"/>
  <c r="Y27" i="2"/>
  <c r="D23" i="4" s="1"/>
  <c r="Y15" i="2"/>
  <c r="D11" i="4" s="1"/>
  <c r="Y20" i="2"/>
  <c r="D16" i="4" s="1"/>
  <c r="Y23" i="2"/>
  <c r="D19" i="4" s="1"/>
  <c r="Y29" i="2"/>
  <c r="D25" i="4" s="1"/>
  <c r="Y9" i="2"/>
  <c r="D5" i="4" s="1"/>
  <c r="Y8" i="2"/>
  <c r="D4" i="4" s="1"/>
  <c r="Y17" i="2"/>
  <c r="D13" i="4" s="1"/>
  <c r="Y25" i="2"/>
  <c r="D21" i="4" s="1"/>
  <c r="Y21" i="2"/>
  <c r="D17" i="4" s="1"/>
  <c r="Y16" i="2"/>
  <c r="D12" i="4" s="1"/>
  <c r="Y18" i="2"/>
  <c r="D14" i="4" s="1"/>
  <c r="I37" i="1"/>
  <c r="B37"/>
  <c r="I20"/>
  <c r="E17"/>
  <c r="I16"/>
  <c r="E13"/>
  <c r="D53" s="1"/>
  <c r="E53" s="1"/>
  <c r="E2"/>
  <c r="I2"/>
  <c r="I28"/>
  <c r="E29"/>
  <c r="H1"/>
  <c r="D1"/>
  <c r="I12" l="1"/>
  <c r="L52" s="1"/>
  <c r="I29"/>
  <c r="L29" s="1"/>
  <c r="O29" s="1"/>
  <c r="G25" i="4" s="1"/>
  <c r="K25" s="1"/>
  <c r="E26" i="1"/>
  <c r="I8"/>
  <c r="I25"/>
  <c r="E9"/>
  <c r="E21"/>
  <c r="D61" s="1"/>
  <c r="F61" s="1"/>
  <c r="J28"/>
  <c r="J19"/>
  <c r="M59" s="1"/>
  <c r="O59" s="1"/>
  <c r="J11"/>
  <c r="N51" s="1"/>
  <c r="I35"/>
  <c r="I36" s="1"/>
  <c r="J31" s="1"/>
  <c r="M31" s="1"/>
  <c r="P31" s="1"/>
  <c r="H26" i="4" s="1"/>
  <c r="L26" s="1"/>
  <c r="J29" i="1"/>
  <c r="J25"/>
  <c r="J20"/>
  <c r="J16"/>
  <c r="J12"/>
  <c r="N52" s="1"/>
  <c r="J8"/>
  <c r="J15"/>
  <c r="M58" s="1"/>
  <c r="O58" s="1"/>
  <c r="J26"/>
  <c r="J21"/>
  <c r="M61" s="1"/>
  <c r="O61" s="1"/>
  <c r="J17"/>
  <c r="J13"/>
  <c r="N53" s="1"/>
  <c r="O53" s="1"/>
  <c r="J9"/>
  <c r="J23"/>
  <c r="J7"/>
  <c r="J27"/>
  <c r="J22"/>
  <c r="J18"/>
  <c r="M60" s="1"/>
  <c r="F8"/>
  <c r="F29"/>
  <c r="F25"/>
  <c r="F20"/>
  <c r="B35"/>
  <c r="B36" s="1"/>
  <c r="F30" s="1"/>
  <c r="M30" s="1"/>
  <c r="P30" s="1"/>
  <c r="H27" i="4" s="1"/>
  <c r="L27" s="1"/>
  <c r="F26" i="1"/>
  <c r="F21"/>
  <c r="E61" s="1"/>
  <c r="G61" s="1"/>
  <c r="F17"/>
  <c r="F13"/>
  <c r="F53" s="1"/>
  <c r="G53" s="1"/>
  <c r="R53" s="1"/>
  <c r="P13" s="1"/>
  <c r="H9" i="4" s="1"/>
  <c r="L9" s="1"/>
  <c r="F9" i="1"/>
  <c r="F24"/>
  <c r="M24" s="1"/>
  <c r="P24" s="1"/>
  <c r="H20" i="4" s="1"/>
  <c r="L20" s="1"/>
  <c r="F16" i="1"/>
  <c r="F27"/>
  <c r="F22"/>
  <c r="F18"/>
  <c r="E60" s="1"/>
  <c r="F10"/>
  <c r="F28"/>
  <c r="F23"/>
  <c r="F19"/>
  <c r="E59" s="1"/>
  <c r="G59" s="1"/>
  <c r="F15"/>
  <c r="E58" s="1"/>
  <c r="G58" s="1"/>
  <c r="F11"/>
  <c r="F51" s="1"/>
  <c r="F7"/>
  <c r="F12"/>
  <c r="F52" s="1"/>
  <c r="I39"/>
  <c r="I10" s="1"/>
  <c r="E7"/>
  <c r="E11"/>
  <c r="D51" s="1"/>
  <c r="E15"/>
  <c r="D58" s="1"/>
  <c r="F58" s="1"/>
  <c r="I18"/>
  <c r="L60" s="1"/>
  <c r="N60" s="1"/>
  <c r="E19"/>
  <c r="D59" s="1"/>
  <c r="F59" s="1"/>
  <c r="Q59" s="1"/>
  <c r="O19" s="1"/>
  <c r="G15" i="4" s="1"/>
  <c r="K15" s="1"/>
  <c r="U9" i="7" s="1"/>
  <c r="U10" s="1"/>
  <c r="I22" i="1"/>
  <c r="E23"/>
  <c r="I27"/>
  <c r="E28"/>
  <c r="L28" s="1"/>
  <c r="O28" s="1"/>
  <c r="G24" i="4" s="1"/>
  <c r="K24" s="1"/>
  <c r="I38" i="1"/>
  <c r="J10" s="1"/>
  <c r="I9"/>
  <c r="E10"/>
  <c r="I13"/>
  <c r="L53" s="1"/>
  <c r="M53" s="1"/>
  <c r="Q53" s="1"/>
  <c r="O13" s="1"/>
  <c r="G9" i="4" s="1"/>
  <c r="K9" s="1"/>
  <c r="O9" i="7" s="1"/>
  <c r="O10" s="1"/>
  <c r="I17" i="1"/>
  <c r="L17" s="1"/>
  <c r="O17" s="1"/>
  <c r="G13" i="4" s="1"/>
  <c r="K13" s="1"/>
  <c r="S9" i="7" s="1"/>
  <c r="S10" s="1"/>
  <c r="E18" i="1"/>
  <c r="D60" s="1"/>
  <c r="I21"/>
  <c r="L61" s="1"/>
  <c r="N61" s="1"/>
  <c r="E22"/>
  <c r="I26"/>
  <c r="E27"/>
  <c r="I7"/>
  <c r="E8"/>
  <c r="I11"/>
  <c r="L51" s="1"/>
  <c r="E12"/>
  <c r="D52" s="1"/>
  <c r="I15"/>
  <c r="L58" s="1"/>
  <c r="N58" s="1"/>
  <c r="E16"/>
  <c r="L16" s="1"/>
  <c r="O16" s="1"/>
  <c r="G12" i="4" s="1"/>
  <c r="K12" s="1"/>
  <c r="R9" i="7" s="1"/>
  <c r="R10" s="1"/>
  <c r="I19" i="1"/>
  <c r="L59" s="1"/>
  <c r="N59" s="1"/>
  <c r="E20"/>
  <c r="I23"/>
  <c r="E24"/>
  <c r="L24" s="1"/>
  <c r="O24" s="1"/>
  <c r="G20" i="4" s="1"/>
  <c r="K20" s="1"/>
  <c r="E25" i="1"/>
  <c r="O60" l="1"/>
  <c r="R61"/>
  <c r="P21" s="1"/>
  <c r="H17" i="4" s="1"/>
  <c r="L17" s="1"/>
  <c r="M18" i="1"/>
  <c r="G60"/>
  <c r="R58"/>
  <c r="P15" s="1"/>
  <c r="H11" i="4" s="1"/>
  <c r="L11" s="1"/>
  <c r="O51" i="1"/>
  <c r="O52"/>
  <c r="M51"/>
  <c r="M52"/>
  <c r="E51"/>
  <c r="E52"/>
  <c r="G51"/>
  <c r="G52"/>
  <c r="L20"/>
  <c r="F60"/>
  <c r="Q60" s="1"/>
  <c r="Q58"/>
  <c r="O15" s="1"/>
  <c r="G11" i="4" s="1"/>
  <c r="K11" s="1"/>
  <c r="Q9" i="7" s="1"/>
  <c r="Q10" s="1"/>
  <c r="R59" i="1"/>
  <c r="P19" s="1"/>
  <c r="H15" i="4" s="1"/>
  <c r="L15" s="1"/>
  <c r="Q61" i="1"/>
  <c r="M21"/>
  <c r="L13"/>
  <c r="L25"/>
  <c r="O25" s="1"/>
  <c r="G21" i="4" s="1"/>
  <c r="K21" s="1"/>
  <c r="L11" i="1"/>
  <c r="L21"/>
  <c r="L27"/>
  <c r="O27" s="1"/>
  <c r="G23" i="4" s="1"/>
  <c r="K23" s="1"/>
  <c r="L15" i="1"/>
  <c r="L8"/>
  <c r="O8" s="1"/>
  <c r="G4" i="4" s="1"/>
  <c r="K4" s="1"/>
  <c r="L9" i="7" s="1"/>
  <c r="L10" s="1"/>
  <c r="M11" i="1"/>
  <c r="M27"/>
  <c r="P27" s="1"/>
  <c r="H23" i="4" s="1"/>
  <c r="L23" s="1"/>
  <c r="M23" i="1"/>
  <c r="P23" s="1"/>
  <c r="H19" i="4" s="1"/>
  <c r="L19" s="1"/>
  <c r="M9" i="1"/>
  <c r="P9" s="1"/>
  <c r="H5" i="4" s="1"/>
  <c r="L5" s="1"/>
  <c r="L9" i="1"/>
  <c r="O9" s="1"/>
  <c r="G5" i="4" s="1"/>
  <c r="K5" s="1"/>
  <c r="M9" i="7" s="1"/>
  <c r="M10" s="1"/>
  <c r="M7" i="1"/>
  <c r="P7" s="1"/>
  <c r="H3" i="4" s="1"/>
  <c r="L3" s="1"/>
  <c r="M22" i="1"/>
  <c r="P22" s="1"/>
  <c r="H18" i="4" s="1"/>
  <c r="L18" s="1"/>
  <c r="M26" i="1"/>
  <c r="P26" s="1"/>
  <c r="H22" i="4" s="1"/>
  <c r="L22" s="1"/>
  <c r="L7" i="1"/>
  <c r="O7" s="1"/>
  <c r="G3" i="4" s="1"/>
  <c r="K3" s="1"/>
  <c r="K9" i="7" s="1"/>
  <c r="K10" s="1"/>
  <c r="M12" i="1"/>
  <c r="M10"/>
  <c r="P10" s="1"/>
  <c r="H6" i="4" s="1"/>
  <c r="L6" s="1"/>
  <c r="M17" i="1"/>
  <c r="P17" s="1"/>
  <c r="H13" i="4" s="1"/>
  <c r="L13" s="1"/>
  <c r="M16" i="1"/>
  <c r="P16" s="1"/>
  <c r="H12" i="4" s="1"/>
  <c r="L12" s="1"/>
  <c r="M28" i="1"/>
  <c r="P28" s="1"/>
  <c r="H24" i="4" s="1"/>
  <c r="L24" s="1"/>
  <c r="L19" i="1"/>
  <c r="L26"/>
  <c r="O26" s="1"/>
  <c r="G22" i="4" s="1"/>
  <c r="K22" s="1"/>
  <c r="L18" i="1"/>
  <c r="L12"/>
  <c r="L23"/>
  <c r="O23" s="1"/>
  <c r="G19" i="4" s="1"/>
  <c r="K19" s="1"/>
  <c r="X9" i="7" s="1"/>
  <c r="X10" s="1"/>
  <c r="L10" i="1"/>
  <c r="O10" s="1"/>
  <c r="G6" i="4" s="1"/>
  <c r="K6" s="1"/>
  <c r="J9" i="7" s="1"/>
  <c r="J10" s="1"/>
  <c r="L22" i="1"/>
  <c r="O22" s="1"/>
  <c r="G18" i="4" s="1"/>
  <c r="K18" s="1"/>
  <c r="M8" i="1"/>
  <c r="P8" s="1"/>
  <c r="H4" i="4" s="1"/>
  <c r="L4" s="1"/>
  <c r="M29" i="1"/>
  <c r="P29" s="1"/>
  <c r="H25" i="4" s="1"/>
  <c r="L25" s="1"/>
  <c r="M19" i="1"/>
  <c r="M25"/>
  <c r="P25" s="1"/>
  <c r="H21" i="4" s="1"/>
  <c r="L21" s="1"/>
  <c r="M15" i="1"/>
  <c r="M20"/>
  <c r="F14"/>
  <c r="M13"/>
  <c r="J14"/>
  <c r="I14" s="1"/>
  <c r="G17" i="4" l="1"/>
  <c r="K17" s="1"/>
  <c r="W9" i="7" s="1"/>
  <c r="W10" s="1"/>
  <c r="O21" i="1"/>
  <c r="R51"/>
  <c r="P11" s="1"/>
  <c r="H7" i="4" s="1"/>
  <c r="L7" s="1"/>
  <c r="R60" i="1"/>
  <c r="G16" i="4"/>
  <c r="K16" s="1"/>
  <c r="V9" i="7" s="1"/>
  <c r="V10" s="1"/>
  <c r="O18" i="1"/>
  <c r="G14" i="4" s="1"/>
  <c r="K14" s="1"/>
  <c r="T9" i="7" s="1"/>
  <c r="T10" s="1"/>
  <c r="Q52" i="1"/>
  <c r="O12" s="1"/>
  <c r="G8" i="4" s="1"/>
  <c r="K8" s="1"/>
  <c r="N9" i="7" s="1"/>
  <c r="N10" s="1"/>
  <c r="R52" i="1"/>
  <c r="P12" s="1"/>
  <c r="H8" i="4" s="1"/>
  <c r="L8" s="1"/>
  <c r="Q51" i="1"/>
  <c r="O11" s="1"/>
  <c r="G7" i="4" s="1"/>
  <c r="K7" s="1"/>
  <c r="E14" i="1"/>
  <c r="L14" s="1"/>
  <c r="O14" s="1"/>
  <c r="G10" i="4" s="1"/>
  <c r="K10" s="1"/>
  <c r="M14" i="1"/>
  <c r="P14" s="1"/>
  <c r="H10" i="4" s="1"/>
  <c r="L10" s="1"/>
  <c r="H16" l="1"/>
  <c r="L16" s="1"/>
  <c r="P18" i="1"/>
  <c r="H14" i="4" s="1"/>
  <c r="L14" s="1"/>
</calcChain>
</file>

<file path=xl/comments1.xml><?xml version="1.0" encoding="utf-8"?>
<comments xmlns="http://schemas.openxmlformats.org/spreadsheetml/2006/main">
  <authors>
    <author>Kasutaja</author>
  </authors>
  <commentList>
    <comment ref="H10" authorId="0">
      <text>
        <r>
          <rPr>
            <b/>
            <sz val="9"/>
            <color indexed="81"/>
            <rFont val="Segoe UI"/>
            <family val="2"/>
          </rPr>
          <t>Kasutaja:</t>
        </r>
        <r>
          <rPr>
            <sz val="9"/>
            <color indexed="81"/>
            <rFont val="Segoe UI"/>
            <family val="2"/>
          </rPr>
          <t xml:space="preserve">
arvutatav kütuse väävlisisalduse
järgi, sidumist tuhaga ei arvestata</t>
        </r>
      </text>
    </comment>
  </commentList>
</comments>
</file>

<file path=xl/sharedStrings.xml><?xml version="1.0" encoding="utf-8"?>
<sst xmlns="http://schemas.openxmlformats.org/spreadsheetml/2006/main" count="1254" uniqueCount="269">
  <si>
    <t>B1=</t>
  </si>
  <si>
    <t>[GJ]</t>
  </si>
  <si>
    <t>Soojussisendile vastav võimsus</t>
  </si>
  <si>
    <t>MW</t>
  </si>
  <si>
    <t>Kütuse aastakulu, B  t/a või tuh m3/a</t>
  </si>
  <si>
    <t>t/a</t>
  </si>
  <si>
    <t>tuh m3/a</t>
  </si>
  <si>
    <t>Kütuse alumine kütteväärtus, MJ/kg</t>
  </si>
  <si>
    <t>MJ/kg</t>
  </si>
  <si>
    <t>CAS</t>
  </si>
  <si>
    <t>Saasteaine</t>
  </si>
  <si>
    <t>Saasteaine eriheite ühik</t>
  </si>
  <si>
    <t>Eriheide g/GJ metallidel mg/GJ</t>
  </si>
  <si>
    <t>Hetkeline heitkogus, g/s metallidel, mg/s</t>
  </si>
  <si>
    <t>Aastane heitkogus, t/a metllidel, kg/a</t>
  </si>
  <si>
    <t>10102-44-0</t>
  </si>
  <si>
    <t>Lämmastikdioksiid</t>
  </si>
  <si>
    <t>g/GJ</t>
  </si>
  <si>
    <t>630-08-0</t>
  </si>
  <si>
    <t>Süsinikoksiid</t>
  </si>
  <si>
    <t>NMHC</t>
  </si>
  <si>
    <t>Lenduvad orgaanilised ühendid</t>
  </si>
  <si>
    <t>7446-09-5</t>
  </si>
  <si>
    <t>Vääveldioksiid</t>
  </si>
  <si>
    <t>PMsum</t>
  </si>
  <si>
    <t>Osakesed</t>
  </si>
  <si>
    <t>PM10</t>
  </si>
  <si>
    <t>Peenosakesed</t>
  </si>
  <si>
    <t>PM2,5</t>
  </si>
  <si>
    <t>Eriti peened osakesed</t>
  </si>
  <si>
    <t>BC</t>
  </si>
  <si>
    <t>Must süsinik</t>
  </si>
  <si>
    <t>% PM2,5-st</t>
  </si>
  <si>
    <t>7439-92-1</t>
  </si>
  <si>
    <t>Plii</t>
  </si>
  <si>
    <t>mg/GJ</t>
  </si>
  <si>
    <t>7440-43-9</t>
  </si>
  <si>
    <t>Kaadmium</t>
  </si>
  <si>
    <t>7439-97-9</t>
  </si>
  <si>
    <t>Elavhõbe</t>
  </si>
  <si>
    <t>7440-38-2</t>
  </si>
  <si>
    <t>Arseen</t>
  </si>
  <si>
    <t>7440-47-3</t>
  </si>
  <si>
    <t>Kroom</t>
  </si>
  <si>
    <t>7440-50-8</t>
  </si>
  <si>
    <t>Vask</t>
  </si>
  <si>
    <t>7440-02-0</t>
  </si>
  <si>
    <t>Nikkel</t>
  </si>
  <si>
    <t>7782-49-2</t>
  </si>
  <si>
    <t>Seleen</t>
  </si>
  <si>
    <t>7440-66-6</t>
  </si>
  <si>
    <t>Tsink</t>
  </si>
  <si>
    <t>7664-41-7</t>
  </si>
  <si>
    <t>Ammoniaak</t>
  </si>
  <si>
    <t>Polüklooritud dibenso-dioksiinid ja
dibensofuraanid (PCDD/PCDF)</t>
  </si>
  <si>
    <t>ng/GJ</t>
  </si>
  <si>
    <t>Benso(a)püreen</t>
  </si>
  <si>
    <t>µg/GJ</t>
  </si>
  <si>
    <t>Benso(b)fluoranteen</t>
  </si>
  <si>
    <t>Benso(k)fluoranteen</t>
  </si>
  <si>
    <t>Indeo(1,2,3-cd)püreen</t>
  </si>
  <si>
    <t>124-38-9-bio</t>
  </si>
  <si>
    <t>Süsinikdioksiid biomassist</t>
  </si>
  <si>
    <t>124-38-9</t>
  </si>
  <si>
    <t xml:space="preserve">Süsinikdioksiid </t>
  </si>
  <si>
    <t>qc</t>
  </si>
  <si>
    <t>tC/TJ</t>
  </si>
  <si>
    <t>GJ</t>
  </si>
  <si>
    <t xml:space="preserve">Kc </t>
  </si>
  <si>
    <t>Mc = 10-3 x B1 x qc x Kc=</t>
  </si>
  <si>
    <t>Mco = Mc x 3.664</t>
  </si>
  <si>
    <t>Väävlisisaldus</t>
  </si>
  <si>
    <t>%</t>
  </si>
  <si>
    <t>Põlevkiviõli</t>
  </si>
  <si>
    <t>SO2</t>
  </si>
  <si>
    <t>g/s</t>
  </si>
  <si>
    <t>Maagaas</t>
  </si>
  <si>
    <t>Kerge kütteõli</t>
  </si>
  <si>
    <t>Puiduhake</t>
  </si>
  <si>
    <t>Tükkturvas</t>
  </si>
  <si>
    <t>tonni/a</t>
  </si>
  <si>
    <t xml:space="preserve">Kütuse aastakulu, B  t/a </t>
  </si>
  <si>
    <t>Nimetus</t>
  </si>
  <si>
    <t>Püütav saasteaine</t>
  </si>
  <si>
    <t>Puhastus %</t>
  </si>
  <si>
    <t>PM2.5</t>
  </si>
  <si>
    <t>Kogus</t>
  </si>
  <si>
    <t>Kütteliik</t>
  </si>
  <si>
    <t>Soojusseade</t>
  </si>
  <si>
    <t>Ühik</t>
  </si>
  <si>
    <t>Kokku</t>
  </si>
  <si>
    <t>Kokku võimalik halvim variant</t>
  </si>
  <si>
    <t>Saasteallikas</t>
  </si>
  <si>
    <t>Maht</t>
  </si>
  <si>
    <t>Kõrgus</t>
  </si>
  <si>
    <t>Läbimõõt</t>
  </si>
  <si>
    <t>Pumba tootlikus</t>
  </si>
  <si>
    <t>Molekulmass</t>
  </si>
  <si>
    <t xml:space="preserve">Pumpamise aeg </t>
  </si>
  <si>
    <t>Põlevkiviõli tihedus</t>
  </si>
  <si>
    <t>Autotsistern</t>
  </si>
  <si>
    <t>Kütuse kulu aastas</t>
  </si>
  <si>
    <t>m3</t>
  </si>
  <si>
    <t>m</t>
  </si>
  <si>
    <t>m3/h</t>
  </si>
  <si>
    <t>tundi/a</t>
  </si>
  <si>
    <t>t/tsistern</t>
  </si>
  <si>
    <t>Koond</t>
  </si>
  <si>
    <t>V1</t>
  </si>
  <si>
    <t>Laadimine</t>
  </si>
  <si>
    <t>m3/s</t>
  </si>
  <si>
    <t>Õhutustorustiku ava</t>
  </si>
  <si>
    <t>D (m)</t>
  </si>
  <si>
    <t>Joonkiirus (m/s)</t>
  </si>
  <si>
    <t>kg/a</t>
  </si>
  <si>
    <t>g/a</t>
  </si>
  <si>
    <t>s/laadimine</t>
  </si>
  <si>
    <t>Joonkiirus laadimisel</t>
  </si>
  <si>
    <t>LOÜ</t>
  </si>
  <si>
    <r>
      <t>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</t>
    </r>
  </si>
  <si>
    <r>
      <t>Raske kütteõli ja põlevkiviõli laadimisel välisõhku väljutatava vesiniksulfiidi ja metüülmerkaptaani heitkogus (L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 grammides arvutatakse järgmist valemit kasutades:</t>
    </r>
  </si>
  <si>
    <t>Metüülmerkaptaan</t>
  </si>
  <si>
    <r>
      <t>H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S, g</t>
    </r>
  </si>
  <si>
    <t>Metüülmerkaptaani, g</t>
  </si>
  <si>
    <t>Aromaatsed süsiv.</t>
  </si>
  <si>
    <t>0,001 – teisendustegur milligrammidest grammideks;</t>
  </si>
  <si>
    <t>Hoiustamine</t>
  </si>
  <si>
    <r>
      <t>Q – laadimiskäive vaadeldaval perioodil,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</t>
    </r>
  </si>
  <si>
    <t>H2S</t>
  </si>
  <si>
    <t>Metüülmerkaptaani</t>
  </si>
  <si>
    <t>s/a</t>
  </si>
  <si>
    <r>
      <t>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eriheide,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täpsemate andmete puudumisel kasutada käesoleva määruse lisas 6 esitatud andmeid.</t>
    </r>
  </si>
  <si>
    <t>eff – heite vähendamismeetme efektiivsus (%), vähendamismeetme puudumise korral valemi osa arvestatakse 1</t>
  </si>
  <si>
    <t>Põlevkiviõli hoiustamisel soojustamata mahutite hingamisel välisõhku väljutatavate vesiniksulfiidi ja metüülmerkaptaani heitkoguste määramine (§10)</t>
  </si>
  <si>
    <t>Raske kütteõli ja põlevkiviõli hoiustamisel soojustamata mahutite hingamisel välisõhku väljutatava vesiniksulfiidi ja metüülmerkaptaani heitkogus (LS) grammides arvutatakse järgmist valemit kasutades:</t>
  </si>
  <si>
    <t>&lt;1kg/a</t>
  </si>
  <si>
    <t>t – päevade arv vaadeldaval perioodil;</t>
  </si>
  <si>
    <r>
      <t>V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kütusemahuti aururuumi maht,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leitud käesoleva määruse § 3 lõike 2 arvutusvalemi kohaselt;</t>
    </r>
  </si>
  <si>
    <r>
      <t>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eriheide,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täpsemate andmete puudumisel kasutada käesoleva määruse lisas 6 esitatud andmeid;</t>
    </r>
  </si>
  <si>
    <r>
      <t>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 – aururuumi paisumistegur, käesoleva määruse lisas 2 esitatu kohaselt;</t>
    </r>
  </si>
  <si>
    <t>eff – heite vähendamismeetme efektiivsus (%), vähendamismeetme puudumise korral valemi osa võetakse 1</t>
  </si>
  <si>
    <r>
      <t>Kütusemahuti aururuumi maht (V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) kuupmeetrites arvutatakse järgmist valemit kasutades:</t>
    </r>
  </si>
  <si>
    <r>
      <t>V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= π × 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 × 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– 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× k))/4, kus</t>
    </r>
  </si>
  <si>
    <t>D – kütusemahuti diameeter, m;</t>
  </si>
  <si>
    <r>
      <t>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– kütusemahuti kõrgus, m;</t>
    </r>
  </si>
  <si>
    <t>k – kütusemahuti keskmine täituvus protsentides. Kui täituvusprotsent ei ole teada, siis kasutada k väärtust 0,5 (50%).</t>
  </si>
  <si>
    <r>
      <t>Põlevkiviõli laadimisel mahutite täitmisest välisõhku väljutatavate lenduvate orgaaniliste ühendite heitkogus (L</t>
    </r>
    <r>
      <rPr>
        <vertAlign val="subscript"/>
        <sz val="8"/>
        <color rgb="FF202020"/>
        <rFont val="Calibri"/>
        <family val="2"/>
        <scheme val="minor"/>
      </rPr>
      <t>W</t>
    </r>
    <r>
      <rPr>
        <sz val="8"/>
        <color rgb="FF202020"/>
        <rFont val="Calibri"/>
        <family val="2"/>
        <scheme val="minor"/>
      </rPr>
      <t>) kilogrammides arvutatakse järgmist valemit kasutades:</t>
    </r>
  </si>
  <si>
    <t>:</t>
  </si>
  <si>
    <t xml:space="preserve"> </t>
  </si>
  <si>
    <r>
      <t>W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aurude tihedus,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 leitud käesoleva määruse § 3 lõike 3 arvutusvalemi kohaselt;</t>
    </r>
  </si>
  <si>
    <t>eff – heite vähendamismeetme efektiivsus (%), vähendamismeetme puudumise korral valemi osa väärtuseks arvestatakse 1</t>
  </si>
  <si>
    <r>
      <t>põlevkiviõli hoiustamisel soojustamata mahutite hingamisel välisõhku väljutatavate lenduvate orgaaniliste ühendite heitkogus (L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kilogrammides arvutatakse järgmist valemit kasutades:</t>
    </r>
  </si>
  <si>
    <r>
      <t>V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kütusemahuti aururuumi maht,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</t>
    </r>
  </si>
  <si>
    <r>
      <t>W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aurude tihedus, 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;</t>
    </r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</si>
  <si>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– ventileeritud aurude küllastumistegur;</t>
    </r>
  </si>
  <si>
    <t>eff – heite vähendamismeetme efektiivsus (%), vähendamismeetme puudumise korral valemi osa väärtuseks 1</t>
  </si>
  <si>
    <t>M – molekulmass, g/mol, täpsemate andmete puudumise korral kasutada käesoleva määruse lisas 1 esitatud andmeid;</t>
  </si>
  <si>
    <t>P – küllastunud aurude rõhk vastavalt naftasaaduse sertifikaadikohastele andmetele või nende puudumisel käesoleva määruse lisas 1 esitatule, kPa;</t>
  </si>
  <si>
    <r>
      <t>8,314 – ideaalgaasi konstant,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 Pa/mol K;</t>
    </r>
  </si>
  <si>
    <r>
      <t>T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aurude keskmine temperatuur, °K, täpsemate andmete puudumise korral kasutada käesoleva määruse lisas 2 esitatud andmeid.</t>
    </r>
  </si>
  <si>
    <r>
      <t>Ventileeritud auru küllastumistegur (K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arvutatakse järgmist valemit kasutades:</t>
    </r>
  </si>
  <si>
    <r>
      <t>K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= 1 / (1 + (0,0253 × P × 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 – 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 × k)))), </t>
    </r>
    <r>
      <rPr>
        <sz val="8"/>
        <color theme="1"/>
        <rFont val="Calibri"/>
        <family val="2"/>
        <scheme val="minor"/>
      </rPr>
      <t>kus</t>
    </r>
  </si>
  <si>
    <t>0,0253 – teisendustegur SI ühikuteks;</t>
  </si>
  <si>
    <t>k – kütusemahuti keskmine täituvus protsentides. Kui täituvusprotsent ei ole teada, siis kasutada k väärtust 0,5 (mahuti täituvus 50%).</t>
  </si>
  <si>
    <t>Naftasaaduste ja põlevkiviõli laadimisel ja soojustamata mahutite hingamisel välisõhku väljutatavate aromaatsete süsivesinike heitkoguste määramine</t>
  </si>
  <si>
    <t>Naftasaaduste ja põlevkiviõli laadimisel ning soojustamata mahutite hingamisel välisõhku väljutatavate aromaatsete süsivesinike summaarse heitkoguse määramiseks täpsemate andmete puudumise korral korrutatakse arvutatud lenduvate orgaaniliste ühendite summaarne heitkogus koefitsiendiga 0,03.</t>
  </si>
  <si>
    <t>Aromaatsed süsivesinikud käesoleva määruse tähenduses on summaarselt benseen, tolueen, etüülbenseen ja ksüleen.</t>
  </si>
  <si>
    <t>Koefitsent</t>
  </si>
  <si>
    <t>Aromaatsed süsivesinikud</t>
  </si>
  <si>
    <t>Laadimisel</t>
  </si>
  <si>
    <t>Hoiustamisel</t>
  </si>
  <si>
    <t>Raske kütteõli ja põlevkiviõli laadimisel välisõhku väljutatavate vesiniksulfiidi ja metüülmerkaptaani heitkoguste määramine (§9)</t>
  </si>
  <si>
    <t>p/a</t>
  </si>
  <si>
    <t>NR</t>
  </si>
  <si>
    <t>Kood</t>
  </si>
  <si>
    <t>Ettevõte</t>
  </si>
  <si>
    <t>Ava läbimõõt, m</t>
  </si>
  <si>
    <t>Väljumiskõrgus, m</t>
  </si>
  <si>
    <t>Joonkiirus, m/s</t>
  </si>
  <si>
    <t>Temperatuur, °C</t>
  </si>
  <si>
    <t>Koordinaadid</t>
  </si>
  <si>
    <t>mg/s</t>
  </si>
  <si>
    <t>NO2</t>
  </si>
  <si>
    <t>CO</t>
  </si>
  <si>
    <t>Põlevkiviõli hoiustamise päevade arv</t>
  </si>
  <si>
    <t>Kerge kütteõli hoiustamise päevade arv</t>
  </si>
  <si>
    <t>K1</t>
  </si>
  <si>
    <t>K2</t>
  </si>
  <si>
    <t>N=</t>
  </si>
  <si>
    <t>Arvestatakse, et kütuse kuivaine stöhhiomeetrilisel põlemisel tekkiv ligikaudne kogus kuivi suitsugaase energiaühiku kohta on 0,25 Nm3/MJ.</t>
  </si>
  <si>
    <t>V=</t>
  </si>
  <si>
    <t xml:space="preserve"> Nm3/s</t>
  </si>
  <si>
    <t>α=</t>
  </si>
  <si>
    <t>gaas ja vedelik - 3%, tahke - 6%</t>
  </si>
  <si>
    <t>Vg=</t>
  </si>
  <si>
    <t>Nm3/s</t>
  </si>
  <si>
    <t>Mahtkiirus temperatuuril :</t>
  </si>
  <si>
    <t>C</t>
  </si>
  <si>
    <t>Vt=</t>
  </si>
  <si>
    <t xml:space="preserve"> m3/s</t>
  </si>
  <si>
    <t>Leiame suitsugaaside joonkiiruse v kasutades valemit v = 4* ω / ( π * d2)</t>
  </si>
  <si>
    <t>D=</t>
  </si>
  <si>
    <t>V0=</t>
  </si>
  <si>
    <t xml:space="preserve"> m/s</t>
  </si>
  <si>
    <t>Diislikütus</t>
  </si>
  <si>
    <t>Raskekütteõli</t>
  </si>
  <si>
    <t>Gaasikatel Viessmann Vitoplex 200</t>
  </si>
  <si>
    <t>Gaasikatel Buderus Logano Plus 825</t>
  </si>
  <si>
    <t>Tahke kütuse katel</t>
  </si>
  <si>
    <t>K3</t>
  </si>
  <si>
    <t>Diislikütuse hoiustamise päevade arv</t>
  </si>
  <si>
    <t>MWth</t>
  </si>
  <si>
    <t>Al. Kütteväärtus, MJ/kg</t>
  </si>
  <si>
    <t>Suurim võimalik heide</t>
  </si>
  <si>
    <t>Suurim võimalik heide K1</t>
  </si>
  <si>
    <t>Suurim võimalik heide koos suitsugaasipesuriga</t>
  </si>
  <si>
    <t>Suitsugaaside pesur</t>
  </si>
  <si>
    <t>Osakesed enne püüdeseadet, g/s</t>
  </si>
  <si>
    <t>Osakesed pärast püüdeseadet g/s</t>
  </si>
  <si>
    <t xml:space="preserve"> Osakesed enne püüdeseadet, t/a</t>
  </si>
  <si>
    <t>Osakesed pärast püüdeseadet, t/a</t>
  </si>
  <si>
    <t>Puhastusprotsent</t>
  </si>
  <si>
    <t>Enne suitsugaasipesurit</t>
  </si>
  <si>
    <t>Peale suitsugaasipesurit</t>
  </si>
  <si>
    <t>g/s (RM mg/s)</t>
  </si>
  <si>
    <t>t/a (RM kg/a)</t>
  </si>
  <si>
    <t>Kokku kütused</t>
  </si>
  <si>
    <t>Raske kütteõli</t>
  </si>
  <si>
    <t>Raske kütteõli hoiustamise päevade arv</t>
  </si>
  <si>
    <t>Suurim võimalik heide K2</t>
  </si>
  <si>
    <r>
      <t>K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 – aururuumi paisumistegur, käesoleva määruse lisas 2 esitatu kohaselt;</t>
    </r>
  </si>
  <si>
    <t>kPa</t>
  </si>
  <si>
    <t>K</t>
  </si>
  <si>
    <r>
      <t>T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aurude keskmine temperatuur, täpsemate andmete puudumise korral kasutada käesoleva määruse lisas 2 esitatud andmeid.</t>
    </r>
  </si>
  <si>
    <r>
      <t>E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 – eriheide, 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, täpsemate andmete puudumisel kasutada käesoleva määruse lisas 6 esitatud andmeid.       H2S</t>
    </r>
  </si>
  <si>
    <t>Naftasaaduste ja põlevkiviõli laadimisel mahutitest välisõhku väljutatavate LOÜ heitkoguste määramine (§4)</t>
  </si>
  <si>
    <t>Naftasaaduste ja põlevkiviõli hoiustamisel soojustamata mahutite hingamisel välisõhku väljutatavate lenduvate orgaaniliste ühendite heitkoguste määramine (§3)</t>
  </si>
  <si>
    <r>
      <t>Naftasaaduste ja põlevkiviõli aurude tihedus (W</t>
    </r>
    <r>
      <rPr>
        <b/>
        <vertAlign val="subscript"/>
        <sz val="10"/>
        <color rgb="FF202020"/>
        <rFont val="Calibri"/>
        <family val="2"/>
        <scheme val="minor"/>
      </rPr>
      <t>V</t>
    </r>
    <r>
      <rPr>
        <b/>
        <sz val="10"/>
        <color rgb="FF202020"/>
        <rFont val="Calibri"/>
        <family val="2"/>
        <scheme val="minor"/>
      </rPr>
      <t>) kilogrammides kuupmeetri kohta arvutatakse järgmist valemit kasutades:</t>
    </r>
  </si>
  <si>
    <t>päeva</t>
  </si>
  <si>
    <t>g/mol</t>
  </si>
  <si>
    <t>mg/m3</t>
  </si>
  <si>
    <t>PKÕ</t>
  </si>
  <si>
    <t>KKÕ</t>
  </si>
  <si>
    <t>DK</t>
  </si>
  <si>
    <t>RKÕ</t>
  </si>
  <si>
    <t>Halvim võimalik variant</t>
  </si>
  <si>
    <t>&lt; 1kg/a</t>
  </si>
  <si>
    <t>BTEX</t>
  </si>
  <si>
    <t>HEIT0002121</t>
  </si>
  <si>
    <t>HEIT0009924</t>
  </si>
  <si>
    <t>HEIT0010569</t>
  </si>
  <si>
    <t>HEIT0010571</t>
  </si>
  <si>
    <t>N1</t>
  </si>
  <si>
    <t>N2</t>
  </si>
  <si>
    <t>N3</t>
  </si>
  <si>
    <t>N4</t>
  </si>
  <si>
    <t>Katlamaja korsten koondallikana</t>
  </si>
  <si>
    <t>Adven Eesti AS</t>
  </si>
  <si>
    <t>6596973    546967</t>
  </si>
  <si>
    <t>Katlamaja korsten</t>
  </si>
  <si>
    <t>6597068    546988</t>
  </si>
  <si>
    <t>Bensiini tankurid</t>
  </si>
  <si>
    <t>Alexela AS</t>
  </si>
  <si>
    <t>6596739    546846</t>
  </si>
  <si>
    <t>Diisli laadimine</t>
  </si>
  <si>
    <t>KOKKU</t>
  </si>
  <si>
    <t>Peale suitsugaasipesurit suurim võimalik heide</t>
  </si>
  <si>
    <t>h/a</t>
  </si>
  <si>
    <t>h laadimisi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</si>
</sst>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_-* #,##0.00\ _k_r_-;\-* #,##0.00\ _k_r_-;_-* &quot;-&quot;??\ _k_r_-;_-@_-"/>
    <numFmt numFmtId="169" formatCode="0.0000000"/>
    <numFmt numFmtId="170" formatCode="0.000000"/>
    <numFmt numFmtId="171" formatCode="0.00000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86"/>
    </font>
    <font>
      <sz val="11"/>
      <color rgb="FF000000"/>
      <name val="Calibri"/>
      <family val="2"/>
    </font>
    <font>
      <sz val="11"/>
      <name val="Arial"/>
      <family val="1"/>
    </font>
    <font>
      <u/>
      <sz val="11"/>
      <color theme="10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color rgb="FF20202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4D5156"/>
      <name val="Calibri"/>
      <family val="2"/>
      <scheme val="minor"/>
    </font>
    <font>
      <b/>
      <sz val="8"/>
      <color rgb="FF202020"/>
      <name val="Calibri"/>
      <family val="2"/>
      <scheme val="minor"/>
    </font>
    <font>
      <vertAlign val="subscript"/>
      <sz val="8"/>
      <color rgb="FF202020"/>
      <name val="Calibri"/>
      <family val="2"/>
      <scheme val="minor"/>
    </font>
    <font>
      <b/>
      <sz val="10"/>
      <color rgb="FF202020"/>
      <name val="Calibri"/>
      <family val="2"/>
      <scheme val="minor"/>
    </font>
    <font>
      <b/>
      <vertAlign val="subscript"/>
      <sz val="10"/>
      <color rgb="FF202020"/>
      <name val="Calibri"/>
      <family val="2"/>
      <scheme val="minor"/>
    </font>
    <font>
      <b/>
      <sz val="10"/>
      <color rgb="FF0061AA"/>
      <name val="Calibri"/>
      <family val="2"/>
      <scheme val="minor"/>
    </font>
    <font>
      <b/>
      <sz val="11"/>
      <color rgb="FF20202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color rgb="FF202020"/>
      <name val="Calibri"/>
      <family val="2"/>
      <scheme val="minor"/>
    </font>
    <font>
      <sz val="8"/>
      <color rgb="FF333333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3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487">
    <xf numFmtId="0" fontId="0" fillId="0" borderId="0" xfId="0"/>
    <xf numFmtId="0" fontId="3" fillId="0" borderId="0" xfId="0" applyFont="1"/>
    <xf numFmtId="0" fontId="3" fillId="0" borderId="0" xfId="0" applyFont="1" applyFill="1" applyBorder="1" applyAlignment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Border="1"/>
    <xf numFmtId="0" fontId="5" fillId="3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165" fontId="5" fillId="3" borderId="7" xfId="0" applyNumberFormat="1" applyFont="1" applyFill="1" applyBorder="1" applyAlignment="1">
      <alignment horizontal="right" vertical="center" wrapText="1"/>
    </xf>
    <xf numFmtId="164" fontId="7" fillId="3" borderId="7" xfId="1" applyNumberFormat="1" applyFont="1" applyFill="1" applyBorder="1" applyAlignment="1">
      <alignment horizontal="right" vertical="center" wrapText="1"/>
    </xf>
    <xf numFmtId="164" fontId="5" fillId="3" borderId="7" xfId="1" applyNumberFormat="1" applyFont="1" applyFill="1" applyBorder="1" applyAlignment="1">
      <alignment horizontal="right" vertical="center" wrapText="1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Border="1"/>
    <xf numFmtId="0" fontId="0" fillId="3" borderId="7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righ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4" fontId="1" fillId="0" borderId="7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>
      <alignment horizontal="center" vertical="center"/>
    </xf>
    <xf numFmtId="1" fontId="1" fillId="0" borderId="11" xfId="1" applyNumberFormat="1" applyFont="1" applyFill="1" applyBorder="1" applyAlignment="1">
      <alignment horizontal="center" vertical="center"/>
    </xf>
    <xf numFmtId="2" fontId="1" fillId="0" borderId="7" xfId="1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lef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49" fontId="0" fillId="0" borderId="7" xfId="1" applyNumberFormat="1" applyFont="1" applyFill="1" applyBorder="1" applyAlignment="1">
      <alignment horizontal="center" vertical="center"/>
    </xf>
    <xf numFmtId="49" fontId="0" fillId="0" borderId="7" xfId="1" applyNumberFormat="1" applyFont="1" applyFill="1" applyBorder="1" applyAlignment="1">
      <alignment horizontal="center" vertical="center" wrapText="1"/>
    </xf>
    <xf numFmtId="0" fontId="0" fillId="0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165" fontId="5" fillId="0" borderId="7" xfId="3" applyNumberFormat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/>
    </xf>
    <xf numFmtId="165" fontId="7" fillId="0" borderId="7" xfId="0" applyNumberFormat="1" applyFont="1" applyFill="1" applyBorder="1" applyAlignment="1">
      <alignment horizontal="right" vertical="center"/>
    </xf>
    <xf numFmtId="165" fontId="7" fillId="0" borderId="7" xfId="1" applyNumberFormat="1" applyFont="1" applyFill="1" applyBorder="1" applyAlignment="1">
      <alignment horizontal="righ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0" applyFont="1" applyFill="1" applyBorder="1"/>
    <xf numFmtId="165" fontId="7" fillId="0" borderId="7" xfId="1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7" xfId="1" applyFont="1" applyFill="1" applyBorder="1" applyAlignment="1">
      <alignment horizontal="right" vertical="center"/>
    </xf>
    <xf numFmtId="165" fontId="0" fillId="0" borderId="7" xfId="1" applyNumberFormat="1" applyFont="1" applyFill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0" fillId="0" borderId="0" xfId="1" applyFont="1" applyFill="1" applyAlignment="1">
      <alignment horizontal="center" vertical="center"/>
    </xf>
    <xf numFmtId="0" fontId="7" fillId="0" borderId="7" xfId="1" applyFont="1" applyFill="1" applyBorder="1" applyAlignment="1">
      <alignment horizontal="right" vertical="center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7" xfId="1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1" fontId="1" fillId="0" borderId="7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 wrapText="1"/>
    </xf>
    <xf numFmtId="164" fontId="0" fillId="0" borderId="7" xfId="0" applyNumberFormat="1" applyFont="1" applyFill="1" applyBorder="1"/>
    <xf numFmtId="165" fontId="5" fillId="0" borderId="0" xfId="1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7" xfId="2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right" vertical="center"/>
    </xf>
    <xf numFmtId="164" fontId="0" fillId="0" borderId="7" xfId="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/>
    <xf numFmtId="0" fontId="0" fillId="0" borderId="24" xfId="0" applyFont="1" applyBorder="1"/>
    <xf numFmtId="164" fontId="0" fillId="0" borderId="7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8" xfId="1" applyFont="1" applyFill="1" applyBorder="1" applyAlignment="1">
      <alignment horizontal="center" vertical="center"/>
    </xf>
    <xf numFmtId="0" fontId="0" fillId="0" borderId="9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167" fontId="0" fillId="4" borderId="7" xfId="2" applyNumberFormat="1" applyFont="1" applyFill="1" applyBorder="1" applyAlignment="1">
      <alignment horizontal="right" vertical="center"/>
    </xf>
    <xf numFmtId="0" fontId="7" fillId="4" borderId="7" xfId="1" applyFont="1" applyFill="1" applyBorder="1" applyAlignment="1">
      <alignment horizontal="center" vertical="center"/>
    </xf>
    <xf numFmtId="0" fontId="0" fillId="0" borderId="7" xfId="0" applyBorder="1"/>
    <xf numFmtId="165" fontId="2" fillId="0" borderId="7" xfId="1" applyNumberFormat="1" applyFont="1" applyFill="1" applyBorder="1" applyAlignment="1">
      <alignment horizontal="right" vertical="center"/>
    </xf>
    <xf numFmtId="0" fontId="0" fillId="4" borderId="7" xfId="0" applyFill="1" applyBorder="1"/>
    <xf numFmtId="165" fontId="7" fillId="0" borderId="7" xfId="3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7" xfId="0" applyNumberFormat="1" applyFont="1" applyFill="1" applyBorder="1"/>
    <xf numFmtId="0" fontId="0" fillId="0" borderId="7" xfId="0" applyFont="1" applyFill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8" borderId="7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165" fontId="0" fillId="3" borderId="7" xfId="0" applyNumberFormat="1" applyFont="1" applyFill="1" applyBorder="1"/>
    <xf numFmtId="164" fontId="0" fillId="3" borderId="7" xfId="0" applyNumberFormat="1" applyFont="1" applyFill="1" applyBorder="1"/>
    <xf numFmtId="165" fontId="0" fillId="8" borderId="7" xfId="0" applyNumberFormat="1" applyFont="1" applyFill="1" applyBorder="1"/>
    <xf numFmtId="0" fontId="0" fillId="8" borderId="7" xfId="0" applyFont="1" applyFill="1" applyBorder="1"/>
    <xf numFmtId="164" fontId="0" fillId="0" borderId="7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5" fontId="0" fillId="0" borderId="7" xfId="0" applyNumberFormat="1" applyBorder="1"/>
    <xf numFmtId="164" fontId="0" fillId="0" borderId="7" xfId="0" applyNumberFormat="1" applyBorder="1"/>
    <xf numFmtId="164" fontId="0" fillId="8" borderId="7" xfId="0" applyNumberFormat="1" applyFill="1" applyBorder="1"/>
    <xf numFmtId="165" fontId="0" fillId="8" borderId="7" xfId="0" applyNumberFormat="1" applyFill="1" applyBorder="1"/>
    <xf numFmtId="0" fontId="5" fillId="2" borderId="7" xfId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67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6" borderId="22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ill="1" applyBorder="1"/>
    <xf numFmtId="1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6" borderId="22" xfId="0" applyFill="1" applyBorder="1"/>
    <xf numFmtId="0" fontId="0" fillId="6" borderId="21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0" fontId="0" fillId="0" borderId="22" xfId="0" applyFont="1" applyBorder="1" applyAlignment="1">
      <alignment horizontal="left"/>
    </xf>
    <xf numFmtId="164" fontId="0" fillId="0" borderId="7" xfId="0" applyNumberFormat="1" applyFont="1" applyBorder="1"/>
    <xf numFmtId="165" fontId="0" fillId="0" borderId="21" xfId="0" applyNumberFormat="1" applyFont="1" applyBorder="1"/>
    <xf numFmtId="164" fontId="0" fillId="0" borderId="0" xfId="0" applyNumberFormat="1" applyFont="1"/>
    <xf numFmtId="1" fontId="0" fillId="0" borderId="0" xfId="0" applyNumberFormat="1" applyFont="1"/>
    <xf numFmtId="0" fontId="6" fillId="0" borderId="20" xfId="0" applyFont="1" applyBorder="1" applyAlignment="1"/>
    <xf numFmtId="0" fontId="0" fillId="0" borderId="17" xfId="0" applyFont="1" applyBorder="1"/>
    <xf numFmtId="0" fontId="0" fillId="0" borderId="33" xfId="0" applyFont="1" applyBorder="1"/>
    <xf numFmtId="0" fontId="18" fillId="0" borderId="20" xfId="0" applyFont="1" applyBorder="1"/>
    <xf numFmtId="165" fontId="0" fillId="0" borderId="7" xfId="0" applyNumberFormat="1" applyFont="1" applyBorder="1"/>
    <xf numFmtId="0" fontId="0" fillId="0" borderId="20" xfId="0" applyFont="1" applyBorder="1"/>
    <xf numFmtId="0" fontId="0" fillId="0" borderId="25" xfId="0" applyFont="1" applyFill="1" applyBorder="1" applyAlignment="1">
      <alignment horizontal="left"/>
    </xf>
    <xf numFmtId="164" fontId="0" fillId="0" borderId="26" xfId="0" applyNumberFormat="1" applyFont="1" applyBorder="1"/>
    <xf numFmtId="165" fontId="0" fillId="0" borderId="32" xfId="0" applyNumberFormat="1" applyFont="1" applyBorder="1"/>
    <xf numFmtId="164" fontId="0" fillId="5" borderId="7" xfId="0" applyNumberFormat="1" applyFont="1" applyFill="1" applyBorder="1" applyAlignment="1">
      <alignment horizontal="center"/>
    </xf>
    <xf numFmtId="0" fontId="0" fillId="0" borderId="7" xfId="0" applyFont="1" applyBorder="1"/>
    <xf numFmtId="0" fontId="3" fillId="6" borderId="30" xfId="0" applyFont="1" applyFill="1" applyBorder="1" applyAlignment="1">
      <alignment horizontal="left"/>
    </xf>
    <xf numFmtId="0" fontId="0" fillId="6" borderId="17" xfId="0" applyFont="1" applyFill="1" applyBorder="1"/>
    <xf numFmtId="0" fontId="0" fillId="6" borderId="33" xfId="0" applyFont="1" applyFill="1" applyBorder="1"/>
    <xf numFmtId="1" fontId="0" fillId="0" borderId="7" xfId="0" applyNumberFormat="1" applyFont="1" applyBorder="1"/>
    <xf numFmtId="0" fontId="0" fillId="0" borderId="21" xfId="0" applyFont="1" applyFill="1" applyBorder="1" applyAlignment="1">
      <alignment horizontal="center"/>
    </xf>
    <xf numFmtId="170" fontId="0" fillId="0" borderId="7" xfId="0" applyNumberFormat="1" applyFont="1" applyBorder="1"/>
    <xf numFmtId="0" fontId="0" fillId="0" borderId="26" xfId="0" applyFont="1" applyBorder="1"/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9" fontId="0" fillId="0" borderId="7" xfId="0" applyNumberFormat="1" applyFont="1" applyBorder="1"/>
    <xf numFmtId="0" fontId="6" fillId="0" borderId="16" xfId="0" applyFont="1" applyBorder="1" applyAlignment="1"/>
    <xf numFmtId="170" fontId="0" fillId="0" borderId="26" xfId="0" applyNumberFormat="1" applyFont="1" applyBorder="1"/>
    <xf numFmtId="0" fontId="0" fillId="0" borderId="20" xfId="0" applyFont="1" applyBorder="1" applyAlignment="1">
      <alignment horizontal="left"/>
    </xf>
    <xf numFmtId="1" fontId="21" fillId="0" borderId="0" xfId="0" applyNumberFormat="1" applyFont="1"/>
    <xf numFmtId="0" fontId="0" fillId="6" borderId="21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164" fontId="7" fillId="5" borderId="7" xfId="0" applyNumberFormat="1" applyFont="1" applyFill="1" applyBorder="1"/>
    <xf numFmtId="166" fontId="7" fillId="5" borderId="21" xfId="0" applyNumberFormat="1" applyFont="1" applyFill="1" applyBorder="1"/>
    <xf numFmtId="164" fontId="0" fillId="8" borderId="15" xfId="0" applyNumberFormat="1" applyFont="1" applyFill="1" applyBorder="1"/>
    <xf numFmtId="0" fontId="0" fillId="0" borderId="15" xfId="0" applyFont="1" applyBorder="1"/>
    <xf numFmtId="0" fontId="0" fillId="4" borderId="7" xfId="0" applyFont="1" applyFill="1" applyBorder="1"/>
    <xf numFmtId="164" fontId="0" fillId="8" borderId="31" xfId="0" applyNumberFormat="1" applyFont="1" applyFill="1" applyBorder="1"/>
    <xf numFmtId="0" fontId="0" fillId="0" borderId="21" xfId="0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0" fontId="0" fillId="0" borderId="23" xfId="0" applyFont="1" applyBorder="1"/>
    <xf numFmtId="0" fontId="0" fillId="0" borderId="5" xfId="0" applyFont="1" applyBorder="1"/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0" fontId="18" fillId="0" borderId="0" xfId="0" applyFont="1" applyBorder="1"/>
    <xf numFmtId="164" fontId="0" fillId="0" borderId="29" xfId="0" applyNumberFormat="1" applyFont="1" applyFill="1" applyBorder="1"/>
    <xf numFmtId="1" fontId="0" fillId="0" borderId="7" xfId="0" applyNumberFormat="1" applyFont="1" applyFill="1" applyBorder="1"/>
    <xf numFmtId="171" fontId="0" fillId="5" borderId="29" xfId="0" applyNumberFormat="1" applyFont="1" applyFill="1" applyBorder="1"/>
    <xf numFmtId="0" fontId="18" fillId="0" borderId="20" xfId="0" applyFont="1" applyBorder="1" applyAlignment="1"/>
    <xf numFmtId="0" fontId="0" fillId="0" borderId="20" xfId="0" applyFont="1" applyBorder="1" applyAlignment="1"/>
    <xf numFmtId="164" fontId="0" fillId="5" borderId="29" xfId="0" applyNumberFormat="1" applyFont="1" applyFill="1" applyBorder="1"/>
    <xf numFmtId="0" fontId="18" fillId="0" borderId="22" xfId="0" applyFont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7" xfId="0" applyFont="1" applyFill="1" applyBorder="1" applyAlignment="1">
      <alignment horizontal="center" vertical="center"/>
    </xf>
    <xf numFmtId="166" fontId="0" fillId="5" borderId="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164" fontId="0" fillId="5" borderId="26" xfId="0" applyNumberFormat="1" applyFont="1" applyFill="1" applyBorder="1"/>
    <xf numFmtId="1" fontId="0" fillId="5" borderId="7" xfId="0" applyNumberFormat="1" applyFont="1" applyFill="1" applyBorder="1" applyAlignment="1">
      <alignment horizontal="center"/>
    </xf>
    <xf numFmtId="1" fontId="0" fillId="5" borderId="21" xfId="0" applyNumberFormat="1" applyFont="1" applyFill="1" applyBorder="1" applyAlignment="1">
      <alignment horizontal="center"/>
    </xf>
    <xf numFmtId="165" fontId="0" fillId="8" borderId="26" xfId="0" applyNumberFormat="1" applyFont="1" applyFill="1" applyBorder="1"/>
    <xf numFmtId="0" fontId="6" fillId="6" borderId="7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Border="1"/>
    <xf numFmtId="0" fontId="5" fillId="0" borderId="0" xfId="1" applyFont="1" applyFill="1" applyBorder="1" applyAlignment="1">
      <alignment horizontal="left" vertical="center" wrapText="1"/>
    </xf>
    <xf numFmtId="167" fontId="0" fillId="0" borderId="0" xfId="0" applyNumberFormat="1" applyBorder="1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29" fillId="4" borderId="16" xfId="0" applyFont="1" applyFill="1" applyBorder="1"/>
    <xf numFmtId="0" fontId="29" fillId="0" borderId="17" xfId="0" applyFont="1" applyFill="1" applyBorder="1"/>
    <xf numFmtId="0" fontId="0" fillId="0" borderId="17" xfId="0" applyFill="1" applyBorder="1"/>
    <xf numFmtId="0" fontId="0" fillId="0" borderId="17" xfId="0" applyBorder="1"/>
    <xf numFmtId="164" fontId="0" fillId="0" borderId="17" xfId="0" applyNumberFormat="1" applyBorder="1"/>
    <xf numFmtId="0" fontId="7" fillId="0" borderId="17" xfId="0" applyFont="1" applyBorder="1"/>
    <xf numFmtId="0" fontId="1" fillId="0" borderId="33" xfId="0" applyFont="1" applyBorder="1"/>
    <xf numFmtId="0" fontId="0" fillId="0" borderId="20" xfId="0" applyBorder="1"/>
    <xf numFmtId="0" fontId="7" fillId="0" borderId="0" xfId="0" applyFont="1"/>
    <xf numFmtId="0" fontId="1" fillId="0" borderId="24" xfId="0" applyFont="1" applyBorder="1"/>
    <xf numFmtId="0" fontId="30" fillId="0" borderId="0" xfId="0" applyFont="1"/>
    <xf numFmtId="0" fontId="0" fillId="0" borderId="38" xfId="0" applyBorder="1"/>
    <xf numFmtId="0" fontId="0" fillId="0" borderId="27" xfId="0" applyBorder="1"/>
    <xf numFmtId="0" fontId="7" fillId="0" borderId="27" xfId="0" applyFont="1" applyBorder="1"/>
    <xf numFmtId="0" fontId="1" fillId="0" borderId="28" xfId="0" applyFont="1" applyBorder="1"/>
    <xf numFmtId="0" fontId="1" fillId="0" borderId="0" xfId="0" applyFont="1"/>
    <xf numFmtId="0" fontId="7" fillId="4" borderId="0" xfId="0" applyFont="1" applyFill="1"/>
    <xf numFmtId="0" fontId="0" fillId="4" borderId="0" xfId="0" applyFill="1"/>
    <xf numFmtId="164" fontId="7" fillId="4" borderId="0" xfId="0" applyNumberFormat="1" applyFont="1" applyFill="1"/>
    <xf numFmtId="0" fontId="0" fillId="0" borderId="0" xfId="0" applyFill="1" applyBorder="1"/>
    <xf numFmtId="0" fontId="5" fillId="0" borderId="7" xfId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5" fillId="2" borderId="7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164" fontId="1" fillId="0" borderId="14" xfId="1" applyNumberFormat="1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65" fontId="0" fillId="0" borderId="7" xfId="0" applyNumberFormat="1" applyFill="1" applyBorder="1"/>
    <xf numFmtId="164" fontId="0" fillId="0" borderId="7" xfId="0" applyNumberFormat="1" applyFill="1" applyBorder="1"/>
    <xf numFmtId="165" fontId="7" fillId="3" borderId="7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164" fontId="0" fillId="0" borderId="26" xfId="0" applyNumberForma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2" fontId="0" fillId="0" borderId="7" xfId="0" applyNumberFormat="1" applyBorder="1"/>
    <xf numFmtId="2" fontId="0" fillId="0" borderId="0" xfId="0" applyNumberFormat="1" applyBorder="1"/>
    <xf numFmtId="2" fontId="0" fillId="0" borderId="0" xfId="0" applyNumberFormat="1"/>
    <xf numFmtId="1" fontId="0" fillId="0" borderId="7" xfId="0" applyNumberFormat="1" applyFont="1" applyFill="1" applyBorder="1" applyAlignment="1">
      <alignment horizontal="center"/>
    </xf>
    <xf numFmtId="0" fontId="0" fillId="0" borderId="26" xfId="0" applyFont="1" applyFill="1" applyBorder="1"/>
    <xf numFmtId="0" fontId="18" fillId="0" borderId="0" xfId="0" applyFont="1" applyBorder="1" applyAlignment="1">
      <alignment vertical="center"/>
    </xf>
    <xf numFmtId="0" fontId="31" fillId="0" borderId="7" xfId="0" applyFont="1" applyFill="1" applyBorder="1" applyAlignment="1"/>
    <xf numFmtId="0" fontId="31" fillId="0" borderId="7" xfId="0" applyFont="1" applyFill="1" applyBorder="1" applyAlignment="1">
      <alignment vertical="center"/>
    </xf>
    <xf numFmtId="0" fontId="31" fillId="4" borderId="7" xfId="0" applyFont="1" applyFill="1" applyBorder="1" applyAlignment="1"/>
    <xf numFmtId="0" fontId="31" fillId="4" borderId="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18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0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ill="1"/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4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14" xfId="0" applyFont="1" applyFill="1" applyBorder="1"/>
    <xf numFmtId="0" fontId="0" fillId="0" borderId="12" xfId="0" applyFont="1" applyFill="1" applyBorder="1"/>
    <xf numFmtId="0" fontId="0" fillId="8" borderId="7" xfId="0" applyFill="1" applyBorder="1" applyAlignment="1">
      <alignment vertical="center" wrapText="1"/>
    </xf>
    <xf numFmtId="164" fontId="0" fillId="8" borderId="7" xfId="0" applyNumberFormat="1" applyFill="1" applyBorder="1" applyAlignment="1">
      <alignment vertical="center" wrapText="1"/>
    </xf>
    <xf numFmtId="0" fontId="28" fillId="0" borderId="7" xfId="21" applyBorder="1" applyAlignment="1" applyProtection="1"/>
    <xf numFmtId="0" fontId="28" fillId="9" borderId="7" xfId="21" applyFill="1" applyBorder="1" applyAlignment="1" applyProtection="1">
      <alignment vertical="top" wrapText="1"/>
    </xf>
    <xf numFmtId="0" fontId="32" fillId="0" borderId="7" xfId="0" applyFont="1" applyBorder="1"/>
    <xf numFmtId="0" fontId="32" fillId="0" borderId="7" xfId="0" applyFont="1" applyBorder="1" applyAlignment="1">
      <alignment horizontal="left"/>
    </xf>
    <xf numFmtId="3" fontId="32" fillId="0" borderId="7" xfId="0" applyNumberFormat="1" applyFont="1" applyBorder="1" applyAlignment="1">
      <alignment horizontal="center" vertical="center"/>
    </xf>
    <xf numFmtId="3" fontId="32" fillId="9" borderId="7" xfId="0" applyNumberFormat="1" applyFont="1" applyFill="1" applyBorder="1" applyAlignment="1">
      <alignment horizontal="center" vertical="center" wrapText="1"/>
    </xf>
    <xf numFmtId="3" fontId="32" fillId="0" borderId="7" xfId="0" applyNumberFormat="1" applyFont="1" applyFill="1" applyBorder="1" applyAlignment="1">
      <alignment horizontal="center" vertical="center"/>
    </xf>
    <xf numFmtId="3" fontId="32" fillId="7" borderId="7" xfId="0" applyNumberFormat="1" applyFont="1" applyFill="1" applyBorder="1" applyAlignment="1">
      <alignment horizontal="center" vertical="center"/>
    </xf>
    <xf numFmtId="165" fontId="33" fillId="0" borderId="7" xfId="0" applyNumberFormat="1" applyFont="1" applyBorder="1"/>
    <xf numFmtId="0" fontId="33" fillId="0" borderId="7" xfId="0" applyFont="1" applyBorder="1"/>
    <xf numFmtId="164" fontId="7" fillId="0" borderId="21" xfId="0" applyNumberFormat="1" applyFon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 wrapText="1"/>
    </xf>
    <xf numFmtId="164" fontId="33" fillId="7" borderId="7" xfId="0" applyNumberFormat="1" applyFont="1" applyFill="1" applyBorder="1"/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165" fontId="2" fillId="0" borderId="7" xfId="0" applyNumberFormat="1" applyFont="1" applyFill="1" applyBorder="1"/>
    <xf numFmtId="164" fontId="2" fillId="0" borderId="7" xfId="0" applyNumberFormat="1" applyFont="1" applyFill="1" applyBorder="1"/>
    <xf numFmtId="164" fontId="2" fillId="0" borderId="7" xfId="0" applyNumberFormat="1" applyFont="1" applyBorder="1"/>
    <xf numFmtId="165" fontId="2" fillId="8" borderId="7" xfId="0" applyNumberFormat="1" applyFont="1" applyFill="1" applyBorder="1"/>
    <xf numFmtId="164" fontId="2" fillId="8" borderId="7" xfId="0" applyNumberFormat="1" applyFont="1" applyFill="1" applyBorder="1"/>
    <xf numFmtId="0" fontId="2" fillId="0" borderId="0" xfId="0" applyFont="1"/>
    <xf numFmtId="0" fontId="2" fillId="0" borderId="7" xfId="1" applyFont="1" applyFill="1" applyBorder="1" applyAlignment="1">
      <alignment horizontal="left" vertical="center"/>
    </xf>
    <xf numFmtId="0" fontId="2" fillId="0" borderId="7" xfId="0" applyFont="1" applyBorder="1"/>
    <xf numFmtId="0" fontId="2" fillId="0" borderId="15" xfId="1" applyFont="1" applyFill="1" applyBorder="1" applyAlignment="1">
      <alignment horizontal="center" vertical="center"/>
    </xf>
    <xf numFmtId="0" fontId="28" fillId="0" borderId="7" xfId="21" applyFill="1" applyBorder="1" applyAlignment="1" applyProtection="1">
      <alignment vertical="top" wrapText="1"/>
    </xf>
    <xf numFmtId="0" fontId="32" fillId="0" borderId="7" xfId="0" applyFont="1" applyFill="1" applyBorder="1"/>
    <xf numFmtId="165" fontId="33" fillId="0" borderId="7" xfId="0" applyNumberFormat="1" applyFont="1" applyFill="1" applyBorder="1"/>
    <xf numFmtId="164" fontId="0" fillId="8" borderId="27" xfId="0" applyNumberFormat="1" applyFill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1" applyFont="1" applyFill="1" applyBorder="1" applyAlignment="1">
      <alignment horizontal="left" vertical="center"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top" wrapText="1"/>
    </xf>
    <xf numFmtId="0" fontId="5" fillId="0" borderId="13" xfId="1" applyFont="1" applyFill="1" applyBorder="1" applyAlignment="1">
      <alignment horizontal="center" vertical="top" wrapText="1"/>
    </xf>
    <xf numFmtId="0" fontId="5" fillId="0" borderId="11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center" wrapText="1"/>
    </xf>
    <xf numFmtId="0" fontId="0" fillId="0" borderId="7" xfId="1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0" borderId="7" xfId="0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31" fillId="0" borderId="7" xfId="0" applyFont="1" applyFill="1" applyBorder="1" applyAlignment="1">
      <alignment horizontal="left"/>
    </xf>
    <xf numFmtId="0" fontId="31" fillId="0" borderId="7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18" fillId="0" borderId="2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22" fillId="0" borderId="23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8" fillId="0" borderId="34" xfId="0" applyFont="1" applyBorder="1" applyAlignment="1">
      <alignment horizontal="left" vertical="center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24" fillId="0" borderId="23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23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4" fillId="0" borderId="5" xfId="0" applyFont="1" applyBorder="1" applyAlignment="1">
      <alignment horizontal="left"/>
    </xf>
    <xf numFmtId="0" fontId="24" fillId="0" borderId="6" xfId="0" applyFont="1" applyBorder="1" applyAlignment="1">
      <alignment horizontal="left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37" xfId="0" applyFont="1" applyBorder="1" applyAlignment="1">
      <alignment horizontal="left"/>
    </xf>
    <xf numFmtId="0" fontId="18" fillId="0" borderId="2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 vertical="center"/>
    </xf>
    <xf numFmtId="165" fontId="0" fillId="3" borderId="7" xfId="0" applyNumberFormat="1" applyFill="1" applyBorder="1"/>
    <xf numFmtId="164" fontId="0" fillId="3" borderId="7" xfId="0" applyNumberFormat="1" applyFill="1" applyBorder="1"/>
    <xf numFmtId="0" fontId="0" fillId="3" borderId="0" xfId="0" applyFill="1"/>
    <xf numFmtId="0" fontId="7" fillId="3" borderId="7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 vertical="center" wrapText="1"/>
    </xf>
    <xf numFmtId="0" fontId="0" fillId="3" borderId="0" xfId="0" applyFont="1" applyFill="1" applyBorder="1"/>
    <xf numFmtId="164" fontId="0" fillId="3" borderId="0" xfId="0" applyNumberFormat="1" applyFont="1" applyFill="1" applyBorder="1"/>
    <xf numFmtId="0" fontId="0" fillId="3" borderId="0" xfId="0" applyFont="1" applyFill="1"/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 wrapText="1"/>
    </xf>
    <xf numFmtId="165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0" fontId="2" fillId="4" borderId="7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left" vertical="center" wrapText="1"/>
    </xf>
    <xf numFmtId="165" fontId="2" fillId="4" borderId="7" xfId="0" applyNumberFormat="1" applyFont="1" applyFill="1" applyBorder="1"/>
    <xf numFmtId="164" fontId="2" fillId="4" borderId="7" xfId="0" applyNumberFormat="1" applyFont="1" applyFill="1" applyBorder="1"/>
    <xf numFmtId="0" fontId="2" fillId="4" borderId="0" xfId="0" applyFont="1" applyFill="1"/>
  </cellXfs>
  <cellStyles count="22">
    <cellStyle name="Comma 2" xfId="4"/>
    <cellStyle name="Hüperlink" xfId="21" builtinId="8"/>
    <cellStyle name="Hüperlink 2" xfId="5"/>
    <cellStyle name="Hüperlink 3" xfId="16"/>
    <cellStyle name="Hyperlink 2" xfId="6"/>
    <cellStyle name="Koma 2" xfId="17"/>
    <cellStyle name="Normaallaad" xfId="0" builtinId="0"/>
    <cellStyle name="Normaallaad 2" xfId="2"/>
    <cellStyle name="Normaallaad 2 2" xfId="7"/>
    <cellStyle name="Normaallaad 3" xfId="8"/>
    <cellStyle name="Normaallaad 4" xfId="18"/>
    <cellStyle name="Normaallaad 5" xfId="1"/>
    <cellStyle name="Normaallaad 6" xfId="19"/>
    <cellStyle name="Normaallaad 7" xfId="20"/>
    <cellStyle name="Normal" xfId="9"/>
    <cellStyle name="Normal 2" xfId="10"/>
    <cellStyle name="Normal 2 2" xfId="11"/>
    <cellStyle name="Normal 3" xfId="12"/>
    <cellStyle name="Normal 4" xfId="13"/>
    <cellStyle name="Normal_TARTALL" xfId="14"/>
    <cellStyle name="Protsent 2" xfId="15"/>
    <cellStyle name="Protsent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19</xdr:row>
      <xdr:rowOff>45720</xdr:rowOff>
    </xdr:from>
    <xdr:to>
      <xdr:col>4</xdr:col>
      <xdr:colOff>160020</xdr:colOff>
      <xdr:row>21</xdr:row>
      <xdr:rowOff>83820</xdr:rowOff>
    </xdr:to>
    <xdr:pic>
      <xdr:nvPicPr>
        <xdr:cNvPr id="2" name="Picture 1" descr="https://www.riigiteataja.ee/aktilisa/1020/6202/0013/7.gif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905000"/>
          <a:ext cx="3002280" cy="4114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236220</xdr:colOff>
      <xdr:row>29</xdr:row>
      <xdr:rowOff>30480</xdr:rowOff>
    </xdr:from>
    <xdr:to>
      <xdr:col>4</xdr:col>
      <xdr:colOff>809625</xdr:colOff>
      <xdr:row>31</xdr:row>
      <xdr:rowOff>53340</xdr:rowOff>
    </xdr:to>
    <xdr:pic>
      <xdr:nvPicPr>
        <xdr:cNvPr id="3" name="Picture 3" descr="https://www.riigiteataja.ee/aktilisa/1020/6202/0013/8.gif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3810000"/>
          <a:ext cx="3720465" cy="388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160020</xdr:colOff>
      <xdr:row>47</xdr:row>
      <xdr:rowOff>45720</xdr:rowOff>
    </xdr:from>
    <xdr:to>
      <xdr:col>3</xdr:col>
      <xdr:colOff>350520</xdr:colOff>
      <xdr:row>49</xdr:row>
      <xdr:rowOff>152400</xdr:rowOff>
    </xdr:to>
    <xdr:pic>
      <xdr:nvPicPr>
        <xdr:cNvPr id="4" name="Picture 5" descr="https://www.riigiteataja.ee/aktilisa/1020/6202/0013/4.gif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" y="7277100"/>
          <a:ext cx="2453640" cy="4876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56</xdr:row>
      <xdr:rowOff>45720</xdr:rowOff>
    </xdr:from>
    <xdr:to>
      <xdr:col>4</xdr:col>
      <xdr:colOff>647700</xdr:colOff>
      <xdr:row>58</xdr:row>
      <xdr:rowOff>91440</xdr:rowOff>
    </xdr:to>
    <xdr:pic>
      <xdr:nvPicPr>
        <xdr:cNvPr id="5" name="Picture 8" descr="https://www.riigiteataja.ee/aktilisa/1020/6202/0013/1.gif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" y="9022080"/>
          <a:ext cx="3451860" cy="4267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601980</xdr:colOff>
      <xdr:row>67</xdr:row>
      <xdr:rowOff>7620</xdr:rowOff>
    </xdr:from>
    <xdr:to>
      <xdr:col>3</xdr:col>
      <xdr:colOff>22860</xdr:colOff>
      <xdr:row>69</xdr:row>
      <xdr:rowOff>114300</xdr:rowOff>
    </xdr:to>
    <xdr:pic>
      <xdr:nvPicPr>
        <xdr:cNvPr id="6" name="Picture 10" descr="https://www.riigiteataja.ee/aktilisa/1020/6202/0013/3.gif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980" y="11094720"/>
          <a:ext cx="1684020" cy="48768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19</xdr:row>
      <xdr:rowOff>45720</xdr:rowOff>
    </xdr:from>
    <xdr:to>
      <xdr:col>4</xdr:col>
      <xdr:colOff>160020</xdr:colOff>
      <xdr:row>21</xdr:row>
      <xdr:rowOff>83820</xdr:rowOff>
    </xdr:to>
    <xdr:pic>
      <xdr:nvPicPr>
        <xdr:cNvPr id="2" name="Picture 1" descr="https://www.riigiteataja.ee/aktilisa/1020/6202/0013/7.gif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787140"/>
          <a:ext cx="3002280" cy="4114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236220</xdr:colOff>
      <xdr:row>29</xdr:row>
      <xdr:rowOff>30480</xdr:rowOff>
    </xdr:from>
    <xdr:to>
      <xdr:col>4</xdr:col>
      <xdr:colOff>809625</xdr:colOff>
      <xdr:row>31</xdr:row>
      <xdr:rowOff>53340</xdr:rowOff>
    </xdr:to>
    <xdr:pic>
      <xdr:nvPicPr>
        <xdr:cNvPr id="3" name="Picture 3" descr="https://www.riigiteataja.ee/aktilisa/1020/6202/0013/8.gif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5692140"/>
          <a:ext cx="3720465" cy="388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160020</xdr:colOff>
      <xdr:row>47</xdr:row>
      <xdr:rowOff>45720</xdr:rowOff>
    </xdr:from>
    <xdr:to>
      <xdr:col>3</xdr:col>
      <xdr:colOff>350520</xdr:colOff>
      <xdr:row>49</xdr:row>
      <xdr:rowOff>152400</xdr:rowOff>
    </xdr:to>
    <xdr:pic>
      <xdr:nvPicPr>
        <xdr:cNvPr id="4" name="Picture 5" descr="https://www.riigiteataja.ee/aktilisa/1020/6202/0013/4.gif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" y="9159240"/>
          <a:ext cx="2453640" cy="4876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56</xdr:row>
      <xdr:rowOff>45720</xdr:rowOff>
    </xdr:from>
    <xdr:to>
      <xdr:col>4</xdr:col>
      <xdr:colOff>647700</xdr:colOff>
      <xdr:row>58</xdr:row>
      <xdr:rowOff>91440</xdr:rowOff>
    </xdr:to>
    <xdr:pic>
      <xdr:nvPicPr>
        <xdr:cNvPr id="5" name="Picture 8" descr="https://www.riigiteataja.ee/aktilisa/1020/6202/0013/1.gif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" y="10904220"/>
          <a:ext cx="3451860" cy="4267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601980</xdr:colOff>
      <xdr:row>67</xdr:row>
      <xdr:rowOff>7620</xdr:rowOff>
    </xdr:from>
    <xdr:to>
      <xdr:col>3</xdr:col>
      <xdr:colOff>22860</xdr:colOff>
      <xdr:row>69</xdr:row>
      <xdr:rowOff>114300</xdr:rowOff>
    </xdr:to>
    <xdr:pic>
      <xdr:nvPicPr>
        <xdr:cNvPr id="6" name="Picture 10" descr="https://www.riigiteataja.ee/aktilisa/1020/6202/0013/3.gif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980" y="12976860"/>
          <a:ext cx="1684020" cy="48768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19</xdr:row>
      <xdr:rowOff>45720</xdr:rowOff>
    </xdr:from>
    <xdr:to>
      <xdr:col>4</xdr:col>
      <xdr:colOff>160020</xdr:colOff>
      <xdr:row>21</xdr:row>
      <xdr:rowOff>83820</xdr:rowOff>
    </xdr:to>
    <xdr:pic>
      <xdr:nvPicPr>
        <xdr:cNvPr id="2" name="Picture 1" descr="https://www.riigiteataja.ee/aktilisa/1020/6202/0013/7.gif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787140"/>
          <a:ext cx="3002280" cy="4114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236220</xdr:colOff>
      <xdr:row>29</xdr:row>
      <xdr:rowOff>30480</xdr:rowOff>
    </xdr:from>
    <xdr:to>
      <xdr:col>4</xdr:col>
      <xdr:colOff>809625</xdr:colOff>
      <xdr:row>31</xdr:row>
      <xdr:rowOff>53340</xdr:rowOff>
    </xdr:to>
    <xdr:pic>
      <xdr:nvPicPr>
        <xdr:cNvPr id="3" name="Picture 3" descr="https://www.riigiteataja.ee/aktilisa/1020/6202/0013/8.gif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5692140"/>
          <a:ext cx="3720465" cy="388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160020</xdr:colOff>
      <xdr:row>47</xdr:row>
      <xdr:rowOff>45720</xdr:rowOff>
    </xdr:from>
    <xdr:to>
      <xdr:col>3</xdr:col>
      <xdr:colOff>350520</xdr:colOff>
      <xdr:row>49</xdr:row>
      <xdr:rowOff>152400</xdr:rowOff>
    </xdr:to>
    <xdr:pic>
      <xdr:nvPicPr>
        <xdr:cNvPr id="4" name="Picture 5" descr="https://www.riigiteataja.ee/aktilisa/1020/6202/0013/4.gif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" y="9159240"/>
          <a:ext cx="2453640" cy="4876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56</xdr:row>
      <xdr:rowOff>45720</xdr:rowOff>
    </xdr:from>
    <xdr:to>
      <xdr:col>4</xdr:col>
      <xdr:colOff>647700</xdr:colOff>
      <xdr:row>58</xdr:row>
      <xdr:rowOff>91440</xdr:rowOff>
    </xdr:to>
    <xdr:pic>
      <xdr:nvPicPr>
        <xdr:cNvPr id="5" name="Picture 8" descr="https://www.riigiteataja.ee/aktilisa/1020/6202/0013/1.gif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" y="10904220"/>
          <a:ext cx="3451860" cy="4267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601980</xdr:colOff>
      <xdr:row>67</xdr:row>
      <xdr:rowOff>7620</xdr:rowOff>
    </xdr:from>
    <xdr:to>
      <xdr:col>3</xdr:col>
      <xdr:colOff>22860</xdr:colOff>
      <xdr:row>69</xdr:row>
      <xdr:rowOff>114300</xdr:rowOff>
    </xdr:to>
    <xdr:pic>
      <xdr:nvPicPr>
        <xdr:cNvPr id="6" name="Picture 10" descr="https://www.riigiteataja.ee/aktilisa/1020/6202/0013/3.gif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980" y="12976860"/>
          <a:ext cx="1684020" cy="4876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19</xdr:row>
      <xdr:rowOff>45720</xdr:rowOff>
    </xdr:from>
    <xdr:to>
      <xdr:col>4</xdr:col>
      <xdr:colOff>160020</xdr:colOff>
      <xdr:row>21</xdr:row>
      <xdr:rowOff>83820</xdr:rowOff>
    </xdr:to>
    <xdr:pic>
      <xdr:nvPicPr>
        <xdr:cNvPr id="2" name="Picture 1" descr="https://www.riigiteataja.ee/aktilisa/1020/6202/0013/7.gif">
          <a:extLst>
            <a:ext uri="{FF2B5EF4-FFF2-40B4-BE49-F238E27FC236}">
              <a16:creationId xmlns:a16="http://schemas.microsoft.com/office/drawing/2014/main" xmlns="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787140"/>
          <a:ext cx="3002280" cy="4114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236220</xdr:colOff>
      <xdr:row>29</xdr:row>
      <xdr:rowOff>30480</xdr:rowOff>
    </xdr:from>
    <xdr:to>
      <xdr:col>4</xdr:col>
      <xdr:colOff>809625</xdr:colOff>
      <xdr:row>31</xdr:row>
      <xdr:rowOff>53340</xdr:rowOff>
    </xdr:to>
    <xdr:pic>
      <xdr:nvPicPr>
        <xdr:cNvPr id="3" name="Picture 3" descr="https://www.riigiteataja.ee/aktilisa/1020/6202/0013/8.gif">
          <a:extLst>
            <a:ext uri="{FF2B5EF4-FFF2-40B4-BE49-F238E27FC236}">
              <a16:creationId xmlns:a16="http://schemas.microsoft.com/office/drawing/2014/main" xmlns="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6220" y="5692140"/>
          <a:ext cx="3720465" cy="388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160020</xdr:colOff>
      <xdr:row>47</xdr:row>
      <xdr:rowOff>45720</xdr:rowOff>
    </xdr:from>
    <xdr:to>
      <xdr:col>3</xdr:col>
      <xdr:colOff>350520</xdr:colOff>
      <xdr:row>49</xdr:row>
      <xdr:rowOff>152400</xdr:rowOff>
    </xdr:to>
    <xdr:pic>
      <xdr:nvPicPr>
        <xdr:cNvPr id="4" name="Picture 5" descr="https://www.riigiteataja.ee/aktilisa/1020/6202/0013/4.gif">
          <a:extLst>
            <a:ext uri="{FF2B5EF4-FFF2-40B4-BE49-F238E27FC236}">
              <a16:creationId xmlns:a16="http://schemas.microsoft.com/office/drawing/2014/main" xmlns="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0020" y="9159240"/>
          <a:ext cx="2453640" cy="4876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56</xdr:row>
      <xdr:rowOff>45720</xdr:rowOff>
    </xdr:from>
    <xdr:to>
      <xdr:col>4</xdr:col>
      <xdr:colOff>647700</xdr:colOff>
      <xdr:row>58</xdr:row>
      <xdr:rowOff>91440</xdr:rowOff>
    </xdr:to>
    <xdr:pic>
      <xdr:nvPicPr>
        <xdr:cNvPr id="5" name="Picture 8" descr="https://www.riigiteataja.ee/aktilisa/1020/6202/0013/1.gif">
          <a:extLst>
            <a:ext uri="{FF2B5EF4-FFF2-40B4-BE49-F238E27FC236}">
              <a16:creationId xmlns:a16="http://schemas.microsoft.com/office/drawing/2014/main" xmlns="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42900" y="10904220"/>
          <a:ext cx="3451860" cy="4267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601980</xdr:colOff>
      <xdr:row>67</xdr:row>
      <xdr:rowOff>7620</xdr:rowOff>
    </xdr:from>
    <xdr:to>
      <xdr:col>3</xdr:col>
      <xdr:colOff>22860</xdr:colOff>
      <xdr:row>69</xdr:row>
      <xdr:rowOff>114300</xdr:rowOff>
    </xdr:to>
    <xdr:pic>
      <xdr:nvPicPr>
        <xdr:cNvPr id="6" name="Picture 10" descr="https://www.riigiteataja.ee/aktilisa/1020/6202/0013/3.gif">
          <a:extLst>
            <a:ext uri="{FF2B5EF4-FFF2-40B4-BE49-F238E27FC236}">
              <a16:creationId xmlns:a16="http://schemas.microsoft.com/office/drawing/2014/main" xmlns="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1980" y="12976860"/>
          <a:ext cx="1684020" cy="48768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RIDAS%20YACHT%20&amp;%20COMPOSITES%20O&#220;\Ridas_Yacht_arvutustabelid_f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TTP%20AS%20katlamaja%20Padriku%20tee%208\TTP%20AS%20katlamaja%20arvutustabel%2006.06.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Utilitas%20Eesti%20AS%20Aia%20tn%2050%20J&#245;geva%20-%20Copy\Utilitas%20Eesti%20AS%20Aia%2050%20J&#245;geva%20arvutustabel%2022.11.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ma%20O&#220;\IKEA\Adven_Eesti_AS_IKEA_katlamaja%2004.05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Ü"/>
      <sheetName val="lahustid"/>
      <sheetName val="Põletamine puhurid"/>
      <sheetName val="Põletamine katlad"/>
      <sheetName val="kiirus V1"/>
      <sheetName val="kiirus V7"/>
      <sheetName val="Keevitus koos CO ja NO)"/>
      <sheetName val="Puidu töötlemine"/>
      <sheetName val="Heiteallikate mõõdud"/>
      <sheetName val="Süsiniku arvutus"/>
    </sheetNames>
    <sheetDataSet>
      <sheetData sheetId="0">
        <row r="12">
          <cell r="M12">
            <v>10626</v>
          </cell>
        </row>
      </sheetData>
      <sheetData sheetId="1">
        <row r="5">
          <cell r="R5">
            <v>5.9994999999999996E-3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K1 Põletusseadmed "/>
      <sheetName val="V1 Katlamaja mahuti"/>
      <sheetName val="Kiirused"/>
      <sheetName val="Piirvääruse arvutus"/>
      <sheetName val="Koond"/>
    </sheetNames>
    <sheetDataSet>
      <sheetData sheetId="0">
        <row r="2">
          <cell r="C2" t="str">
            <v>Maagaas</v>
          </cell>
          <cell r="O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Põletusseadmed"/>
      <sheetName val="HA-10 püüdeseadmetega"/>
      <sheetName val="Kiirused"/>
      <sheetName val="Naabrid"/>
      <sheetName val="Kütuse lõikes"/>
      <sheetName val="Koond"/>
      <sheetName val="Mõõtmised"/>
    </sheetNames>
    <sheetDataSet>
      <sheetData sheetId="0">
        <row r="2">
          <cell r="D2" t="str">
            <v>Puiduhake</v>
          </cell>
          <cell r="O2">
            <v>0.05</v>
          </cell>
        </row>
        <row r="3">
          <cell r="D3" t="str">
            <v>Tükkturvas</v>
          </cell>
          <cell r="O3">
            <v>0.35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gandmed"/>
      <sheetName val="Põletusseadmed"/>
      <sheetName val="Kiirused"/>
      <sheetName val="Naabrid + Adven"/>
      <sheetName val="Koond + hajumine"/>
    </sheetNames>
    <sheetDataSet>
      <sheetData sheetId="0">
        <row r="2">
          <cell r="A2" t="str">
            <v>K1</v>
          </cell>
        </row>
        <row r="3">
          <cell r="A3" t="str">
            <v>K2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kotkas.envir.ee/registry_emission_source/emission_source_view?represented_id=459278&amp;registry_code=HEIT0010569&amp;cft=dad2ec2d" TargetMode="External"/><Relationship Id="rId2" Type="http://schemas.openxmlformats.org/officeDocument/2006/relationships/hyperlink" Target="https://kotkas.envir.ee/registry_emission_source/emission_source_view?represented_id=459278&amp;registry_code=HEIT0009924&amp;cft=dad2ec2d" TargetMode="External"/><Relationship Id="rId1" Type="http://schemas.openxmlformats.org/officeDocument/2006/relationships/hyperlink" Target="https://kotkas.envir.ee/registry_emission_source/emission_source_view?represented_id=459278&amp;registry_code=HEIT0002121&amp;cft=dad2ec2d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kotkas.envir.ee/registry_emission_source/emission_source_view?represented_id=459278&amp;registry_code=HEIT0010571&amp;cft=dad2ec2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6"/>
  <sheetViews>
    <sheetView tabSelected="1" workbookViewId="0">
      <selection activeCell="H51" sqref="H51"/>
    </sheetView>
  </sheetViews>
  <sheetFormatPr defaultRowHeight="14.4"/>
  <cols>
    <col min="2" max="3" width="14.6640625" customWidth="1"/>
    <col min="4" max="4" width="10.5546875" customWidth="1"/>
    <col min="5" max="5" width="38.44140625" customWidth="1"/>
    <col min="6" max="6" width="19" customWidth="1"/>
    <col min="7" max="7" width="11.33203125" customWidth="1"/>
    <col min="8" max="8" width="25.109375" customWidth="1"/>
    <col min="9" max="9" width="13.21875" customWidth="1"/>
  </cols>
  <sheetData>
    <row r="4" spans="1:10">
      <c r="A4" s="359" t="s">
        <v>186</v>
      </c>
      <c r="B4" s="112" t="s">
        <v>88</v>
      </c>
      <c r="C4" s="112" t="s">
        <v>211</v>
      </c>
      <c r="D4" s="112"/>
      <c r="E4" s="112" t="s">
        <v>87</v>
      </c>
      <c r="F4" s="112" t="s">
        <v>86</v>
      </c>
      <c r="G4" s="112" t="s">
        <v>89</v>
      </c>
      <c r="H4" s="112" t="s">
        <v>212</v>
      </c>
      <c r="I4" s="112" t="s">
        <v>74</v>
      </c>
    </row>
    <row r="5" spans="1:10">
      <c r="A5" s="359"/>
      <c r="B5" s="364" t="s">
        <v>206</v>
      </c>
      <c r="C5" s="355">
        <v>8.67</v>
      </c>
      <c r="D5" s="355">
        <v>90</v>
      </c>
      <c r="E5" s="98" t="s">
        <v>76</v>
      </c>
      <c r="F5" s="100">
        <v>2200</v>
      </c>
      <c r="G5" s="98" t="s">
        <v>6</v>
      </c>
      <c r="H5" s="297">
        <v>33.6</v>
      </c>
      <c r="I5" s="98">
        <v>0</v>
      </c>
      <c r="J5" s="226"/>
    </row>
    <row r="6" spans="1:10">
      <c r="A6" s="359"/>
      <c r="B6" s="364"/>
      <c r="C6" s="360"/>
      <c r="D6" s="360"/>
      <c r="E6" s="98" t="s">
        <v>73</v>
      </c>
      <c r="F6" s="100">
        <v>1900</v>
      </c>
      <c r="G6" s="98" t="s">
        <v>80</v>
      </c>
      <c r="H6" s="297">
        <v>38.880000000000003</v>
      </c>
      <c r="I6" s="98">
        <v>0.8</v>
      </c>
      <c r="J6" s="226"/>
    </row>
    <row r="7" spans="1:10">
      <c r="A7" s="359"/>
      <c r="B7" s="364"/>
      <c r="C7" s="360"/>
      <c r="D7" s="360"/>
      <c r="E7" s="98" t="s">
        <v>77</v>
      </c>
      <c r="F7" s="100">
        <v>1755</v>
      </c>
      <c r="G7" s="98" t="s">
        <v>80</v>
      </c>
      <c r="H7" s="297">
        <v>42.12</v>
      </c>
      <c r="I7" s="98">
        <v>0.1</v>
      </c>
      <c r="J7" s="226"/>
    </row>
    <row r="8" spans="1:10">
      <c r="A8" s="359"/>
      <c r="B8" s="364"/>
      <c r="C8" s="360"/>
      <c r="D8" s="360"/>
      <c r="E8" s="147" t="s">
        <v>204</v>
      </c>
      <c r="F8" s="100">
        <v>1755</v>
      </c>
      <c r="G8" s="98" t="s">
        <v>80</v>
      </c>
      <c r="H8" s="297">
        <v>42.12</v>
      </c>
      <c r="I8" s="147">
        <v>1E-3</v>
      </c>
      <c r="J8" s="226"/>
    </row>
    <row r="9" spans="1:10">
      <c r="A9" s="359"/>
      <c r="B9" s="364"/>
      <c r="C9" s="356"/>
      <c r="D9" s="356"/>
      <c r="E9" s="147" t="s">
        <v>227</v>
      </c>
      <c r="F9" s="100">
        <v>1815</v>
      </c>
      <c r="G9" s="98" t="s">
        <v>80</v>
      </c>
      <c r="H9" s="297">
        <v>40.68</v>
      </c>
      <c r="I9" s="98">
        <v>0.1</v>
      </c>
      <c r="J9" s="226"/>
    </row>
    <row r="10" spans="1:10">
      <c r="A10" s="269"/>
      <c r="B10" s="267"/>
      <c r="C10" s="267"/>
      <c r="D10" s="267"/>
      <c r="E10" s="226"/>
      <c r="F10" s="255"/>
      <c r="G10" s="226"/>
      <c r="H10" s="298"/>
      <c r="I10" s="226"/>
      <c r="J10" s="226"/>
    </row>
    <row r="11" spans="1:10">
      <c r="A11" s="361" t="s">
        <v>187</v>
      </c>
      <c r="B11" s="364" t="s">
        <v>207</v>
      </c>
      <c r="C11" s="361">
        <v>5.78</v>
      </c>
      <c r="D11" s="361">
        <v>90</v>
      </c>
      <c r="E11" s="98" t="s">
        <v>76</v>
      </c>
      <c r="F11" s="100">
        <v>1700</v>
      </c>
      <c r="G11" s="98" t="s">
        <v>6</v>
      </c>
      <c r="H11" s="297">
        <v>33.6</v>
      </c>
      <c r="I11" s="98">
        <v>0</v>
      </c>
    </row>
    <row r="12" spans="1:10">
      <c r="A12" s="362"/>
      <c r="B12" s="364"/>
      <c r="C12" s="362"/>
      <c r="D12" s="362"/>
      <c r="E12" s="98" t="s">
        <v>73</v>
      </c>
      <c r="F12" s="100">
        <v>1480</v>
      </c>
      <c r="G12" s="98" t="s">
        <v>80</v>
      </c>
      <c r="H12" s="297">
        <v>38.880000000000003</v>
      </c>
      <c r="I12" s="98">
        <v>0.8</v>
      </c>
    </row>
    <row r="13" spans="1:10">
      <c r="A13" s="362"/>
      <c r="B13" s="364"/>
      <c r="C13" s="362"/>
      <c r="D13" s="362"/>
      <c r="E13" s="98" t="s">
        <v>77</v>
      </c>
      <c r="F13" s="100">
        <v>1360</v>
      </c>
      <c r="G13" s="98" t="s">
        <v>80</v>
      </c>
      <c r="H13" s="297">
        <v>42.12</v>
      </c>
      <c r="I13" s="98">
        <v>0.1</v>
      </c>
    </row>
    <row r="14" spans="1:10">
      <c r="A14" s="362"/>
      <c r="B14" s="364"/>
      <c r="C14" s="362"/>
      <c r="D14" s="362"/>
      <c r="E14" s="147" t="s">
        <v>204</v>
      </c>
      <c r="F14" s="100">
        <v>1360</v>
      </c>
      <c r="G14" s="98" t="s">
        <v>80</v>
      </c>
      <c r="H14" s="297">
        <v>42.12</v>
      </c>
      <c r="I14" s="147">
        <v>1E-3</v>
      </c>
    </row>
    <row r="15" spans="1:10">
      <c r="A15" s="363"/>
      <c r="B15" s="364"/>
      <c r="C15" s="363"/>
      <c r="D15" s="363"/>
      <c r="E15" s="147" t="s">
        <v>227</v>
      </c>
      <c r="F15" s="100">
        <v>1410</v>
      </c>
      <c r="G15" s="98" t="s">
        <v>80</v>
      </c>
      <c r="H15" s="297">
        <v>40.68</v>
      </c>
      <c r="I15" s="98">
        <v>0.1</v>
      </c>
    </row>
    <row r="16" spans="1:10">
      <c r="A16" s="269"/>
      <c r="C16" s="269"/>
      <c r="D16" s="269"/>
      <c r="H16" s="299"/>
    </row>
    <row r="17" spans="1:10">
      <c r="A17" s="359" t="s">
        <v>209</v>
      </c>
      <c r="B17" s="357" t="s">
        <v>208</v>
      </c>
      <c r="C17" s="355">
        <v>6</v>
      </c>
      <c r="D17" s="355">
        <v>85</v>
      </c>
      <c r="E17" s="98" t="s">
        <v>78</v>
      </c>
      <c r="F17" s="100">
        <v>18730</v>
      </c>
      <c r="G17" s="98" t="s">
        <v>80</v>
      </c>
      <c r="H17" s="297">
        <v>10.5</v>
      </c>
      <c r="I17" s="98">
        <v>0.05</v>
      </c>
    </row>
    <row r="18" spans="1:10">
      <c r="A18" s="359"/>
      <c r="B18" s="358"/>
      <c r="C18" s="356"/>
      <c r="D18" s="356"/>
      <c r="E18" s="98" t="s">
        <v>79</v>
      </c>
      <c r="F18" s="100">
        <v>13622</v>
      </c>
      <c r="G18" s="98" t="s">
        <v>80</v>
      </c>
      <c r="H18" s="297">
        <v>12.24</v>
      </c>
      <c r="I18" s="98">
        <v>0.35</v>
      </c>
    </row>
    <row r="19" spans="1:10">
      <c r="B19" s="293" t="s">
        <v>90</v>
      </c>
      <c r="C19" s="293">
        <f>C5+C11+C17</f>
        <v>20.45</v>
      </c>
      <c r="D19" s="296"/>
      <c r="J19" s="226"/>
    </row>
    <row r="20" spans="1:10">
      <c r="J20" s="226"/>
    </row>
    <row r="21" spans="1:10">
      <c r="E21" s="98" t="s">
        <v>184</v>
      </c>
      <c r="F21" s="100">
        <v>365</v>
      </c>
      <c r="G21" s="98" t="s">
        <v>172</v>
      </c>
      <c r="J21" s="226"/>
    </row>
    <row r="22" spans="1:10">
      <c r="E22" s="147" t="s">
        <v>185</v>
      </c>
      <c r="F22" s="100">
        <v>365</v>
      </c>
      <c r="G22" s="98" t="s">
        <v>172</v>
      </c>
      <c r="J22" s="226"/>
    </row>
    <row r="23" spans="1:10">
      <c r="E23" s="147" t="s">
        <v>210</v>
      </c>
      <c r="F23" s="100">
        <v>365</v>
      </c>
      <c r="G23" s="98" t="s">
        <v>172</v>
      </c>
      <c r="J23" s="226"/>
    </row>
    <row r="24" spans="1:10">
      <c r="B24" s="226"/>
      <c r="C24" s="226"/>
      <c r="D24" s="226"/>
      <c r="E24" s="147" t="s">
        <v>228</v>
      </c>
      <c r="F24" s="100">
        <v>365</v>
      </c>
      <c r="G24" s="98" t="s">
        <v>172</v>
      </c>
      <c r="H24" s="226"/>
      <c r="I24" s="226"/>
      <c r="J24" s="226"/>
    </row>
    <row r="25" spans="1:10">
      <c r="B25" s="268"/>
      <c r="C25" s="268"/>
      <c r="D25" s="268"/>
      <c r="J25" s="226"/>
    </row>
    <row r="26" spans="1:10">
      <c r="B26" s="268"/>
      <c r="C26" s="268"/>
      <c r="D26" s="268"/>
    </row>
    <row r="27" spans="1:10">
      <c r="B27" s="226"/>
      <c r="C27" s="226"/>
      <c r="D27" s="226"/>
      <c r="E27" s="226"/>
      <c r="F27" s="226"/>
      <c r="G27" s="226"/>
      <c r="H27" s="226"/>
      <c r="I27" s="226"/>
    </row>
    <row r="28" spans="1:10">
      <c r="B28" s="226"/>
      <c r="C28" s="226"/>
      <c r="D28" s="226"/>
      <c r="E28" t="s">
        <v>226</v>
      </c>
      <c r="H28" s="226"/>
      <c r="I28" s="226"/>
    </row>
    <row r="29" spans="1:10">
      <c r="B29" s="226"/>
      <c r="C29" s="226"/>
      <c r="D29" s="226"/>
      <c r="E29" s="98" t="s">
        <v>76</v>
      </c>
      <c r="F29" s="98">
        <f>F5+F11</f>
        <v>3900</v>
      </c>
      <c r="G29" s="98" t="s">
        <v>6</v>
      </c>
      <c r="H29" s="226"/>
      <c r="I29" s="226"/>
    </row>
    <row r="30" spans="1:10">
      <c r="E30" s="98" t="s">
        <v>73</v>
      </c>
      <c r="F30" s="98">
        <f>F6+F12</f>
        <v>3380</v>
      </c>
      <c r="G30" s="98" t="s">
        <v>80</v>
      </c>
    </row>
    <row r="31" spans="1:10">
      <c r="E31" s="98" t="s">
        <v>77</v>
      </c>
      <c r="F31" s="98">
        <f>F7+F13</f>
        <v>3115</v>
      </c>
      <c r="G31" s="98" t="s">
        <v>80</v>
      </c>
    </row>
    <row r="32" spans="1:10">
      <c r="E32" s="147" t="s">
        <v>204</v>
      </c>
      <c r="F32" s="98">
        <f>F8+F14</f>
        <v>3115</v>
      </c>
      <c r="G32" s="98" t="s">
        <v>80</v>
      </c>
    </row>
    <row r="33" spans="5:8">
      <c r="E33" s="147" t="s">
        <v>227</v>
      </c>
      <c r="F33" s="98">
        <f>F9+F15</f>
        <v>3225</v>
      </c>
      <c r="G33" s="98" t="s">
        <v>80</v>
      </c>
    </row>
    <row r="45" spans="5:8">
      <c r="E45">
        <v>8760</v>
      </c>
      <c r="F45" t="s">
        <v>267</v>
      </c>
      <c r="G45">
        <v>100</v>
      </c>
      <c r="H45" t="s">
        <v>72</v>
      </c>
    </row>
    <row r="46" spans="5:8">
      <c r="E46">
        <v>125</v>
      </c>
      <c r="F46" t="s">
        <v>268</v>
      </c>
      <c r="G46" s="299">
        <f>E46*G45/E45</f>
        <v>1.4269406392694064</v>
      </c>
      <c r="H46" t="s">
        <v>72</v>
      </c>
    </row>
  </sheetData>
  <mergeCells count="12">
    <mergeCell ref="D17:D18"/>
    <mergeCell ref="B17:B18"/>
    <mergeCell ref="A17:A18"/>
    <mergeCell ref="C17:C18"/>
    <mergeCell ref="C5:C9"/>
    <mergeCell ref="C11:C15"/>
    <mergeCell ref="A11:A15"/>
    <mergeCell ref="D5:D9"/>
    <mergeCell ref="D11:D15"/>
    <mergeCell ref="B5:B9"/>
    <mergeCell ref="B11:B15"/>
    <mergeCell ref="A4:A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11"/>
  <sheetViews>
    <sheetView workbookViewId="0">
      <selection activeCell="J16" sqref="J16"/>
    </sheetView>
  </sheetViews>
  <sheetFormatPr defaultRowHeight="14.4"/>
  <cols>
    <col min="2" max="2" width="20" customWidth="1"/>
    <col min="3" max="12" width="13.33203125" customWidth="1"/>
  </cols>
  <sheetData>
    <row r="2" spans="2:13">
      <c r="B2" s="451" t="s">
        <v>10</v>
      </c>
      <c r="C2" s="453" t="s">
        <v>241</v>
      </c>
      <c r="D2" s="453"/>
      <c r="E2" s="453" t="s">
        <v>242</v>
      </c>
      <c r="F2" s="453"/>
      <c r="G2" s="453" t="s">
        <v>243</v>
      </c>
      <c r="H2" s="453"/>
      <c r="I2" s="453" t="s">
        <v>244</v>
      </c>
      <c r="J2" s="453"/>
      <c r="K2" s="449" t="s">
        <v>245</v>
      </c>
      <c r="L2" s="450"/>
    </row>
    <row r="3" spans="2:13">
      <c r="B3" s="452"/>
      <c r="C3" s="262" t="s">
        <v>75</v>
      </c>
      <c r="D3" s="262" t="s">
        <v>114</v>
      </c>
      <c r="E3" s="262" t="s">
        <v>75</v>
      </c>
      <c r="F3" s="262" t="s">
        <v>114</v>
      </c>
      <c r="G3" s="262" t="s">
        <v>75</v>
      </c>
      <c r="H3" s="262" t="s">
        <v>114</v>
      </c>
      <c r="I3" s="262" t="s">
        <v>75</v>
      </c>
      <c r="J3" s="262" t="s">
        <v>114</v>
      </c>
      <c r="K3" s="262" t="s">
        <v>75</v>
      </c>
      <c r="L3" s="262" t="s">
        <v>5</v>
      </c>
    </row>
    <row r="4" spans="2:13">
      <c r="B4" s="310" t="s">
        <v>118</v>
      </c>
      <c r="C4" s="108">
        <f>'Mahuti PKÕ'!O32</f>
        <v>1.8359162161318575E-2</v>
      </c>
      <c r="D4" s="75">
        <f>'Mahuti PKÕ'!P32</f>
        <v>10.362569454052633</v>
      </c>
      <c r="E4" s="123">
        <f>'Mahuti KKÕ'!O32</f>
        <v>2.7896331053713617E-2</v>
      </c>
      <c r="F4" s="124">
        <f>'Mahuti KKÕ'!P32</f>
        <v>14.561977828386897</v>
      </c>
      <c r="G4" s="123">
        <f>'Mahuti DK'!O32</f>
        <v>2.7896331053713617E-2</v>
      </c>
      <c r="H4" s="124">
        <f>'Mahuti DK'!P32</f>
        <v>14.561977828386897</v>
      </c>
      <c r="I4" s="123">
        <f>'Mahuti RKÕ'!O32</f>
        <v>0.17381047035468636</v>
      </c>
      <c r="J4" s="124">
        <f>'Mahuti RKÕ'!P32</f>
        <v>93.627231060229747</v>
      </c>
      <c r="K4" s="126">
        <f>MAX(C4,E4,G4,I4)</f>
        <v>0.17381047035468636</v>
      </c>
      <c r="L4" s="125">
        <f>(MAX(D4,F4,H4,J4))/1000</f>
        <v>9.3627231060229743E-2</v>
      </c>
    </row>
    <row r="5" spans="2:13">
      <c r="B5" s="310" t="s">
        <v>119</v>
      </c>
      <c r="C5" s="108">
        <f>'Mahuti PKÕ'!O33</f>
        <v>6.9497467744447856E-4</v>
      </c>
      <c r="D5" s="75">
        <f>'Mahuti PKÕ'!P33</f>
        <v>0.39228848092187507</v>
      </c>
      <c r="E5" s="123">
        <f>'Mahuti KKÕ'!O33</f>
        <v>0</v>
      </c>
      <c r="F5" s="124">
        <f>'Mahuti KKÕ'!P33</f>
        <v>0</v>
      </c>
      <c r="G5" s="123">
        <f>'Mahuti DK'!O33</f>
        <v>0</v>
      </c>
      <c r="H5" s="124">
        <f>'Mahuti DK'!P33</f>
        <v>0</v>
      </c>
      <c r="I5" s="123">
        <f>'Mahuti RKÕ'!O33</f>
        <v>3.4748733872223922E-4</v>
      </c>
      <c r="J5" s="124">
        <f>'Mahuti RKÕ'!P33</f>
        <v>0.18753309046093752</v>
      </c>
      <c r="K5" s="123">
        <f t="shared" ref="K5:K7" si="0">MAX(C5,E5,G5,I5)</f>
        <v>6.9497467744447856E-4</v>
      </c>
      <c r="L5" s="124">
        <f t="shared" ref="L5:L7" si="1">(MAX(D5,F5,H5,J5))/1000</f>
        <v>3.9228848092187505E-4</v>
      </c>
      <c r="M5" t="s">
        <v>246</v>
      </c>
    </row>
    <row r="6" spans="2:13">
      <c r="B6" s="310" t="s">
        <v>121</v>
      </c>
      <c r="C6" s="108">
        <f>'Mahuti PKÕ'!O34</f>
        <v>6.9497467744447845E-5</v>
      </c>
      <c r="D6" s="75">
        <f>'Mahuti PKÕ'!P34</f>
        <v>3.9228848092187504E-2</v>
      </c>
      <c r="E6" s="123">
        <f>'Mahuti KKÕ'!O34</f>
        <v>0</v>
      </c>
      <c r="F6" s="124">
        <f>'Mahuti KKÕ'!P34</f>
        <v>0</v>
      </c>
      <c r="G6" s="123">
        <f>'Mahuti DK'!O34</f>
        <v>0</v>
      </c>
      <c r="H6" s="124">
        <f>'Mahuti DK'!P34</f>
        <v>0</v>
      </c>
      <c r="I6" s="123">
        <f>'Mahuti RKÕ'!O34</f>
        <v>3.4748733872223922E-5</v>
      </c>
      <c r="J6" s="124">
        <f>'Mahuti RKÕ'!P34</f>
        <v>1.8753309046093753E-2</v>
      </c>
      <c r="K6" s="123">
        <f t="shared" si="0"/>
        <v>6.9497467744447845E-5</v>
      </c>
      <c r="L6" s="124">
        <f t="shared" si="1"/>
        <v>3.9228848092187506E-5</v>
      </c>
      <c r="M6" t="s">
        <v>246</v>
      </c>
    </row>
    <row r="7" spans="2:13">
      <c r="B7" s="311" t="s">
        <v>124</v>
      </c>
      <c r="C7" s="108">
        <f>'Mahuti PKÕ'!O35</f>
        <v>5.5077486483955714E-4</v>
      </c>
      <c r="D7" s="75">
        <f>'Mahuti PKÕ'!P35</f>
        <v>0.31087708362157895</v>
      </c>
      <c r="E7" s="123">
        <f>'Mahuti KKÕ'!O35</f>
        <v>8.3688993161140852E-4</v>
      </c>
      <c r="F7" s="124">
        <f>'Mahuti KKÕ'!P35</f>
        <v>0.43685933485160694</v>
      </c>
      <c r="G7" s="123">
        <f>'Mahuti DK'!O35</f>
        <v>8.3688993161140852E-4</v>
      </c>
      <c r="H7" s="124">
        <f>'Mahuti DK'!P35</f>
        <v>0.43685933485160694</v>
      </c>
      <c r="I7" s="123">
        <f>'Mahuti RKÕ'!O35</f>
        <v>5.2143141106405898E-3</v>
      </c>
      <c r="J7" s="124">
        <f>'Mahuti RKÕ'!P35</f>
        <v>2.8088169318068923</v>
      </c>
      <c r="K7" s="126">
        <f t="shared" si="0"/>
        <v>5.2143141106405898E-3</v>
      </c>
      <c r="L7" s="125">
        <f t="shared" si="1"/>
        <v>2.8088169318068925E-3</v>
      </c>
    </row>
    <row r="8" spans="2:13"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</row>
    <row r="9" spans="2:13"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</row>
    <row r="10" spans="2:13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2:13"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</row>
  </sheetData>
  <mergeCells count="6">
    <mergeCell ref="K2:L2"/>
    <mergeCell ref="B2:B3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zoomScaleNormal="100" workbookViewId="0">
      <selection activeCell="K16" sqref="K16"/>
    </sheetView>
  </sheetViews>
  <sheetFormatPr defaultRowHeight="14.4"/>
  <cols>
    <col min="1" max="1" width="11.5546875" bestFit="1" customWidth="1"/>
    <col min="2" max="2" width="33.33203125" customWidth="1"/>
    <col min="3" max="12" width="15.6640625" customWidth="1"/>
  </cols>
  <sheetData>
    <row r="1" spans="1:12" ht="76.8" customHeight="1">
      <c r="A1" s="458" t="s">
        <v>9</v>
      </c>
      <c r="B1" s="459" t="s">
        <v>10</v>
      </c>
      <c r="C1" s="454" t="s">
        <v>186</v>
      </c>
      <c r="D1" s="455"/>
      <c r="E1" s="460" t="s">
        <v>187</v>
      </c>
      <c r="F1" s="460"/>
      <c r="G1" s="456" t="s">
        <v>209</v>
      </c>
      <c r="H1" s="457"/>
      <c r="I1" s="456" t="s">
        <v>108</v>
      </c>
      <c r="J1" s="457"/>
      <c r="K1" s="454" t="s">
        <v>91</v>
      </c>
      <c r="L1" s="455"/>
    </row>
    <row r="2" spans="1:12" ht="57" customHeight="1">
      <c r="A2" s="458"/>
      <c r="B2" s="459"/>
      <c r="C2" s="127" t="s">
        <v>13</v>
      </c>
      <c r="D2" s="127" t="s">
        <v>14</v>
      </c>
      <c r="E2" s="127" t="s">
        <v>13</v>
      </c>
      <c r="F2" s="127" t="s">
        <v>14</v>
      </c>
      <c r="G2" s="261" t="s">
        <v>13</v>
      </c>
      <c r="H2" s="261" t="s">
        <v>14</v>
      </c>
      <c r="I2" s="127" t="s">
        <v>13</v>
      </c>
      <c r="J2" s="127" t="s">
        <v>14</v>
      </c>
      <c r="K2" s="127" t="s">
        <v>13</v>
      </c>
      <c r="L2" s="127" t="s">
        <v>14</v>
      </c>
    </row>
    <row r="3" spans="1:12">
      <c r="A3" s="35" t="s">
        <v>15</v>
      </c>
      <c r="B3" s="256" t="s">
        <v>16</v>
      </c>
      <c r="C3" s="274">
        <f>'K1 Gaasi ja vedelkütusekatlad'!X7</f>
        <v>0.96237000000000006</v>
      </c>
      <c r="D3" s="275">
        <f>'K1 Gaasi ja vedelkütusekatlad'!Y7</f>
        <v>8.2051865999999993</v>
      </c>
      <c r="E3" s="274">
        <f>'K2 Gaasi ja vedelkütusekatl'!X7</f>
        <v>0.64158000000000004</v>
      </c>
      <c r="F3" s="275">
        <f>'K2 Gaasi ja vedelkütusekatl'!Y7</f>
        <v>6.3872064000000002</v>
      </c>
      <c r="G3" s="274">
        <f>'K3 Tahkekütusekatel'!O7</f>
        <v>1.6859999999999999</v>
      </c>
      <c r="H3" s="275">
        <f>'K3 Tahkekütusekatel'!P7</f>
        <v>46.852051680000002</v>
      </c>
      <c r="I3" s="124"/>
      <c r="J3" s="124"/>
      <c r="K3" s="126">
        <f>C3+E3+I3+G3</f>
        <v>3.2899500000000002</v>
      </c>
      <c r="L3" s="125">
        <f>D3+F3+J3+H3</f>
        <v>61.444444680000004</v>
      </c>
    </row>
    <row r="4" spans="1:12">
      <c r="A4" s="35" t="s">
        <v>18</v>
      </c>
      <c r="B4" s="256" t="s">
        <v>19</v>
      </c>
      <c r="C4" s="274">
        <f>'K1 Gaasi ja vedelkütusekatlad'!X8</f>
        <v>0.36413999999999996</v>
      </c>
      <c r="D4" s="275">
        <f>'K1 Gaasi ja vedelkütusekatlad'!Y8</f>
        <v>3.1046651999999999</v>
      </c>
      <c r="E4" s="274">
        <f>'K2 Gaasi ja vedelkütusekatl'!X8</f>
        <v>0.24276000000000003</v>
      </c>
      <c r="F4" s="275">
        <f>'K2 Gaasi ja vedelkütusekatl'!Y8</f>
        <v>2.4167808000000002</v>
      </c>
      <c r="G4" s="274">
        <f>'K3 Tahkekütusekatel'!O8</f>
        <v>7.2</v>
      </c>
      <c r="H4" s="275">
        <f>'K3 Tahkekütusekatel'!P8</f>
        <v>235.99799999999999</v>
      </c>
      <c r="I4" s="124"/>
      <c r="J4" s="124"/>
      <c r="K4" s="126">
        <f t="shared" ref="K4:L28" si="0">C4+E4+I4+G4</f>
        <v>7.8069000000000006</v>
      </c>
      <c r="L4" s="125">
        <f t="shared" ref="L4:L27" si="1">D4+F4+J4+H4</f>
        <v>241.51944599999999</v>
      </c>
    </row>
    <row r="5" spans="1:12">
      <c r="A5" s="40" t="s">
        <v>20</v>
      </c>
      <c r="B5" s="256" t="s">
        <v>21</v>
      </c>
      <c r="C5" s="274">
        <f>'K1 Gaasi ja vedelkütusekatlad'!X9</f>
        <v>4.335E-2</v>
      </c>
      <c r="D5" s="275">
        <f>'K1 Gaasi ja vedelkütusekatlad'!Y9</f>
        <v>0.36960299999999996</v>
      </c>
      <c r="E5" s="274">
        <f>'K2 Gaasi ja vedelkütusekatl'!X9</f>
        <v>2.8900000000000002E-2</v>
      </c>
      <c r="F5" s="275">
        <f>'K2 Gaasi ja vedelkütusekatl'!Y9</f>
        <v>0.28771200000000002</v>
      </c>
      <c r="G5" s="274">
        <f>'K3 Tahkekütusekatel'!O9</f>
        <v>0.12</v>
      </c>
      <c r="H5" s="275">
        <f>'K3 Tahkekütusekatel'!P9</f>
        <v>3.343305</v>
      </c>
      <c r="I5" s="123">
        <f>'Mahutid koond'!K4</f>
        <v>0.17381047035468636</v>
      </c>
      <c r="J5" s="124">
        <f>'Mahutid koond'!L4</f>
        <v>9.3627231060229743E-2</v>
      </c>
      <c r="K5" s="126">
        <f t="shared" si="0"/>
        <v>0.36606047035468636</v>
      </c>
      <c r="L5" s="125">
        <f t="shared" si="1"/>
        <v>4.0942472310602298</v>
      </c>
    </row>
    <row r="6" spans="1:12">
      <c r="A6" s="41" t="s">
        <v>22</v>
      </c>
      <c r="B6" s="256" t="s">
        <v>23</v>
      </c>
      <c r="C6" s="274">
        <f>'K1 Gaasi ja vedelkütusekatlad'!X10</f>
        <v>3.5679012345679011</v>
      </c>
      <c r="D6" s="275">
        <f>'K1 Gaasi ja vedelkütusekatlad'!Y10</f>
        <v>30.400000000000002</v>
      </c>
      <c r="E6" s="274">
        <f>'K2 Gaasi ja vedelkütusekatl'!X10</f>
        <v>2.378600823045268</v>
      </c>
      <c r="F6" s="275">
        <f>'K2 Gaasi ja vedelkütusekatl'!Y10</f>
        <v>23.680000000000003</v>
      </c>
      <c r="G6" s="274">
        <f>'K3 Tahkekütusekatel'!O10</f>
        <v>3.4313725490196076</v>
      </c>
      <c r="H6" s="275">
        <f>'K3 Tahkekütusekatel'!P10</f>
        <v>95.353999999999999</v>
      </c>
      <c r="I6" s="124"/>
      <c r="J6" s="124"/>
      <c r="K6" s="126">
        <f t="shared" si="0"/>
        <v>9.3778746066327763</v>
      </c>
      <c r="L6" s="125">
        <f t="shared" si="1"/>
        <v>149.434</v>
      </c>
    </row>
    <row r="7" spans="1:12" s="469" customFormat="1">
      <c r="A7" s="20" t="s">
        <v>24</v>
      </c>
      <c r="B7" s="13" t="s">
        <v>25</v>
      </c>
      <c r="C7" s="467">
        <f>'K1 Gaasi ja vedelkütusekatlad'!X11</f>
        <v>0.3468</v>
      </c>
      <c r="D7" s="468">
        <f>'K1 Gaasi ja vedelkütusekatlad'!Y11</f>
        <v>2.9568239999999997</v>
      </c>
      <c r="E7" s="467">
        <f>'K2 Gaasi ja vedelkütusekatl'!X11</f>
        <v>0.23120000000000002</v>
      </c>
      <c r="F7" s="468">
        <f>'K2 Gaasi ja vedelkütusekatl'!Y11</f>
        <v>2.3016960000000002</v>
      </c>
      <c r="G7" s="467">
        <f>'K3 Tahkekütusekatel'!O11</f>
        <v>0.88800000000000001</v>
      </c>
      <c r="H7" s="468">
        <f>'K3 Tahkekütusekatel'!P11</f>
        <v>24.676525440000002</v>
      </c>
      <c r="I7" s="468"/>
      <c r="J7" s="468"/>
      <c r="K7" s="467">
        <f t="shared" si="0"/>
        <v>1.4660000000000002</v>
      </c>
      <c r="L7" s="468">
        <f t="shared" si="1"/>
        <v>29.935045440000003</v>
      </c>
    </row>
    <row r="8" spans="1:12" s="469" customFormat="1">
      <c r="A8" s="21" t="s">
        <v>26</v>
      </c>
      <c r="B8" s="13" t="s">
        <v>27</v>
      </c>
      <c r="C8" s="467">
        <f>'K1 Gaasi ja vedelkütusekatlad'!X12</f>
        <v>5.2019999999999997E-2</v>
      </c>
      <c r="D8" s="468">
        <f>'K1 Gaasi ja vedelkütusekatlad'!Y12</f>
        <v>0.44352359999999996</v>
      </c>
      <c r="E8" s="467">
        <f>'K2 Gaasi ja vedelkütusekatl'!X12</f>
        <v>3.4680000000000002E-2</v>
      </c>
      <c r="F8" s="468">
        <f>'K2 Gaasi ja vedelkütusekatl'!Y12</f>
        <v>0.34525440000000002</v>
      </c>
      <c r="G8" s="467">
        <f>'K3 Tahkekütusekatel'!O12</f>
        <v>0.88800000000000001</v>
      </c>
      <c r="H8" s="468">
        <f>'K3 Tahkekütusekatel'!P12</f>
        <v>24.676525440000002</v>
      </c>
      <c r="I8" s="468"/>
      <c r="J8" s="468"/>
      <c r="K8" s="467">
        <f t="shared" si="0"/>
        <v>0.97470000000000001</v>
      </c>
      <c r="L8" s="468">
        <f t="shared" si="1"/>
        <v>25.465303440000003</v>
      </c>
    </row>
    <row r="9" spans="1:12" s="469" customFormat="1">
      <c r="A9" s="21" t="s">
        <v>28</v>
      </c>
      <c r="B9" s="13" t="s">
        <v>29</v>
      </c>
      <c r="C9" s="467">
        <f>'K1 Gaasi ja vedelkütusekatlad'!X13</f>
        <v>5.2019999999999997E-2</v>
      </c>
      <c r="D9" s="468">
        <f>'K1 Gaasi ja vedelkütusekatlad'!Y13</f>
        <v>0.44352359999999996</v>
      </c>
      <c r="E9" s="467">
        <f>'K2 Gaasi ja vedelkütusekatl'!X13</f>
        <v>3.4680000000000002E-2</v>
      </c>
      <c r="F9" s="468">
        <f>'K2 Gaasi ja vedelkütusekatl'!Y13</f>
        <v>0.34525440000000002</v>
      </c>
      <c r="G9" s="467">
        <f>'K3 Tahkekütusekatel'!O13</f>
        <v>0.876</v>
      </c>
      <c r="H9" s="468">
        <f>'K3 Tahkekütusekatel'!P13</f>
        <v>24.343058879999997</v>
      </c>
      <c r="I9" s="468"/>
      <c r="J9" s="468"/>
      <c r="K9" s="467">
        <f t="shared" si="0"/>
        <v>0.9627</v>
      </c>
      <c r="L9" s="468">
        <f t="shared" si="1"/>
        <v>25.131836879999998</v>
      </c>
    </row>
    <row r="10" spans="1:12" s="347" customFormat="1">
      <c r="A10" s="340" t="s">
        <v>30</v>
      </c>
      <c r="B10" s="341" t="s">
        <v>31</v>
      </c>
      <c r="C10" s="342">
        <f>'K1 Gaasi ja vedelkütusekatlad'!X14</f>
        <v>4.6818000000000001E-4</v>
      </c>
      <c r="D10" s="343">
        <f>'K1 Gaasi ja vedelkütusekatlad'!Y14</f>
        <v>3.9916800000000001E-3</v>
      </c>
      <c r="E10" s="342">
        <f>'K2 Gaasi ja vedelkütusekatl'!X14</f>
        <v>3.1211999999999999E-4</v>
      </c>
      <c r="F10" s="343">
        <f>'K2 Gaasi ja vedelkütusekatl'!Y14</f>
        <v>3.0844800000000001E-3</v>
      </c>
      <c r="G10" s="342">
        <f>'K3 Tahkekütusekatel'!O14</f>
        <v>2.3408051625000002E-2</v>
      </c>
      <c r="H10" s="343">
        <f>'K3 Tahkekütusekatel'!P14</f>
        <v>3.3924712500000003</v>
      </c>
      <c r="I10" s="344"/>
      <c r="J10" s="344"/>
      <c r="K10" s="345">
        <f t="shared" si="0"/>
        <v>2.4188351625000003E-2</v>
      </c>
      <c r="L10" s="346">
        <f t="shared" si="1"/>
        <v>3.3995474100000003</v>
      </c>
    </row>
    <row r="11" spans="1:12">
      <c r="A11" s="45" t="s">
        <v>33</v>
      </c>
      <c r="B11" s="46" t="s">
        <v>34</v>
      </c>
      <c r="C11" s="274">
        <f>'K1 Gaasi ja vedelkütusekatlad'!X15</f>
        <v>8.6699999999999999E-2</v>
      </c>
      <c r="D11" s="275">
        <f>'K1 Gaasi ja vedelkütusekatlad'!Y15</f>
        <v>0.73920599999999992</v>
      </c>
      <c r="E11" s="274">
        <f>'K2 Gaasi ja vedelkütusekatl'!X15</f>
        <v>5.7800000000000004E-2</v>
      </c>
      <c r="F11" s="275">
        <f>'K2 Gaasi ja vedelkütusekatl'!Y15</f>
        <v>0.57542400000000005</v>
      </c>
      <c r="G11" s="274">
        <f>'K3 Tahkekütusekatel'!O15</f>
        <v>0.14399999999999996</v>
      </c>
      <c r="H11" s="275">
        <f>'K3 Tahkekütusekatel'!P15</f>
        <v>4.0015987200000005</v>
      </c>
      <c r="I11" s="124"/>
      <c r="J11" s="124"/>
      <c r="K11" s="126">
        <f t="shared" si="0"/>
        <v>0.28849999999999998</v>
      </c>
      <c r="L11" s="125">
        <f t="shared" si="1"/>
        <v>5.3162287200000007</v>
      </c>
    </row>
    <row r="12" spans="1:12">
      <c r="A12" s="45" t="s">
        <v>36</v>
      </c>
      <c r="B12" s="49" t="s">
        <v>37</v>
      </c>
      <c r="C12" s="274">
        <f>'K1 Gaasi ja vedelkütusekatlad'!X16</f>
        <v>2.601E-3</v>
      </c>
      <c r="D12" s="275">
        <f>'K1 Gaasi ja vedelkütusekatlad'!Y16</f>
        <v>2.2176179999999997E-2</v>
      </c>
      <c r="E12" s="274">
        <f>'K2 Gaasi ja vedelkütusekatl'!X16</f>
        <v>1.7340000000000001E-3</v>
      </c>
      <c r="F12" s="275">
        <f>'K2 Gaasi ja vedelkütusekatl'!Y16</f>
        <v>1.7262720000000002E-2</v>
      </c>
      <c r="G12" s="274">
        <f>'K3 Tahkekütusekatel'!O16</f>
        <v>7.8E-2</v>
      </c>
      <c r="H12" s="275">
        <f>'K3 Tahkekütusekatel'!P16</f>
        <v>2.5566450000000001</v>
      </c>
      <c r="I12" s="124"/>
      <c r="J12" s="124"/>
      <c r="K12" s="126">
        <f t="shared" si="0"/>
        <v>8.2335000000000005E-2</v>
      </c>
      <c r="L12" s="125">
        <f t="shared" si="1"/>
        <v>2.5960839</v>
      </c>
    </row>
    <row r="13" spans="1:12">
      <c r="A13" s="45" t="s">
        <v>38</v>
      </c>
      <c r="B13" s="49" t="s">
        <v>39</v>
      </c>
      <c r="C13" s="274">
        <f>'K1 Gaasi ja vedelkütusekatlad'!X17</f>
        <v>8.6700000000000004E-4</v>
      </c>
      <c r="D13" s="275">
        <f>'K1 Gaasi ja vedelkütusekatlad'!Y17</f>
        <v>7.3920599999999998E-3</v>
      </c>
      <c r="E13" s="274">
        <f>'K2 Gaasi ja vedelkütusekatl'!X17</f>
        <v>5.7800000000000006E-4</v>
      </c>
      <c r="F13" s="275">
        <f>'K2 Gaasi ja vedelkütusekatl'!Y17</f>
        <v>5.7542400000000007E-3</v>
      </c>
      <c r="G13" s="274">
        <f>'K3 Tahkekütusekatel'!O17</f>
        <v>5.3999999999999999E-2</v>
      </c>
      <c r="H13" s="275">
        <f>'K3 Tahkekütusekatel'!P17</f>
        <v>1.50059952</v>
      </c>
      <c r="I13" s="124"/>
      <c r="J13" s="124"/>
      <c r="K13" s="126">
        <f t="shared" si="0"/>
        <v>5.5445000000000001E-2</v>
      </c>
      <c r="L13" s="125">
        <f t="shared" si="1"/>
        <v>1.51374582</v>
      </c>
    </row>
    <row r="14" spans="1:12">
      <c r="A14" s="45" t="s">
        <v>40</v>
      </c>
      <c r="B14" s="49" t="s">
        <v>41</v>
      </c>
      <c r="C14" s="274">
        <f>'K1 Gaasi ja vedelkütusekatlad'!X18</f>
        <v>0.38581500000000002</v>
      </c>
      <c r="D14" s="275">
        <f>'K1 Gaasi ja vedelkütusekatlad'!Y18</f>
        <v>3.2894666999999997</v>
      </c>
      <c r="E14" s="274">
        <f>'K2 Gaasi ja vedelkütusekatl'!X18</f>
        <v>0.25721000000000005</v>
      </c>
      <c r="F14" s="275">
        <f>'K2 Gaasi ja vedelkütusekatl'!Y18</f>
        <v>2.5606368000000002</v>
      </c>
      <c r="G14" s="274">
        <f>'K3 Tahkekütusekatel'!O18</f>
        <v>5.7600000000000012E-3</v>
      </c>
      <c r="H14" s="275">
        <f>'K3 Tahkekütusekatel'!P18</f>
        <v>0.16006394879999997</v>
      </c>
      <c r="I14" s="124"/>
      <c r="J14" s="124"/>
      <c r="K14" s="126">
        <f t="shared" si="0"/>
        <v>0.64878500000000006</v>
      </c>
      <c r="L14" s="125">
        <f t="shared" si="1"/>
        <v>6.010167448799999</v>
      </c>
    </row>
    <row r="15" spans="1:12">
      <c r="A15" s="45" t="s">
        <v>42</v>
      </c>
      <c r="B15" s="49" t="s">
        <v>43</v>
      </c>
      <c r="C15" s="274">
        <f>'K1 Gaasi ja vedelkütusekatlad'!X19</f>
        <v>0.1734</v>
      </c>
      <c r="D15" s="275">
        <f>'K1 Gaasi ja vedelkütusekatlad'!Y19</f>
        <v>1.4784119999999998</v>
      </c>
      <c r="E15" s="274">
        <f>'K2 Gaasi ja vedelkütusekatl'!X19</f>
        <v>0.11560000000000001</v>
      </c>
      <c r="F15" s="275">
        <f>'K2 Gaasi ja vedelkütusekatl'!Y19</f>
        <v>1.1508480000000001</v>
      </c>
      <c r="G15" s="274">
        <f>'K3 Tahkekütusekatel'!O19</f>
        <v>3.3119999999999997E-2</v>
      </c>
      <c r="H15" s="275">
        <f>'K3 Tahkekütusekatel'!P19</f>
        <v>1.0855907999999999</v>
      </c>
      <c r="I15" s="124"/>
      <c r="J15" s="124"/>
      <c r="K15" s="126">
        <f t="shared" si="0"/>
        <v>0.32212000000000002</v>
      </c>
      <c r="L15" s="125">
        <f t="shared" si="1"/>
        <v>3.7148507999999998</v>
      </c>
    </row>
    <row r="16" spans="1:12" s="486" customFormat="1">
      <c r="A16" s="482" t="s">
        <v>44</v>
      </c>
      <c r="B16" s="483" t="s">
        <v>45</v>
      </c>
      <c r="C16" s="484">
        <f>'K1 Gaasi ja vedelkütusekatlad'!X20</f>
        <v>5.2019999999999997E-2</v>
      </c>
      <c r="D16" s="485">
        <f>'K1 Gaasi ja vedelkütusekatlad'!Y20</f>
        <v>0.44352359999999996</v>
      </c>
      <c r="E16" s="484">
        <f>'K2 Gaasi ja vedelkütusekatl'!X20</f>
        <v>3.4680000000000002E-2</v>
      </c>
      <c r="F16" s="485">
        <f>'K2 Gaasi ja vedelkütusekatl'!Y20</f>
        <v>0.34525440000000002</v>
      </c>
      <c r="G16" s="484">
        <f>'K3 Tahkekütusekatel'!O20</f>
        <v>0.12</v>
      </c>
      <c r="H16" s="485">
        <f>'K3 Tahkekütusekatel'!P20</f>
        <v>3.9333</v>
      </c>
      <c r="I16" s="485"/>
      <c r="J16" s="485"/>
      <c r="K16" s="484">
        <f t="shared" si="0"/>
        <v>0.20669999999999999</v>
      </c>
      <c r="L16" s="485">
        <f t="shared" si="1"/>
        <v>4.7220779999999998</v>
      </c>
    </row>
    <row r="17" spans="1:12">
      <c r="A17" s="45" t="s">
        <v>46</v>
      </c>
      <c r="B17" s="46" t="s">
        <v>47</v>
      </c>
      <c r="C17" s="274">
        <f>'K1 Gaasi ja vedelkütusekatlad'!X21</f>
        <v>1.734</v>
      </c>
      <c r="D17" s="275">
        <f>'K1 Gaasi ja vedelkütusekatlad'!Y21</f>
        <v>14.784119999999998</v>
      </c>
      <c r="E17" s="274">
        <f>'K2 Gaasi ja vedelkütusekatl'!X21</f>
        <v>1.1559999999999999</v>
      </c>
      <c r="F17" s="275">
        <f>'K2 Gaasi ja vedelkütusekatl'!Y21</f>
        <v>11.50848</v>
      </c>
      <c r="G17" s="274">
        <f>'K3 Tahkekütusekatel'!O21</f>
        <v>2.8800000000000006E-2</v>
      </c>
      <c r="H17" s="275">
        <f>'K3 Tahkekütusekatel'!P21</f>
        <v>0.94399200000000016</v>
      </c>
      <c r="I17" s="124"/>
      <c r="J17" s="124"/>
      <c r="K17" s="126">
        <f t="shared" si="0"/>
        <v>2.9187999999999996</v>
      </c>
      <c r="L17" s="125">
        <f t="shared" si="1"/>
        <v>27.236592000000002</v>
      </c>
    </row>
    <row r="18" spans="1:12" s="347" customFormat="1">
      <c r="A18" s="340" t="s">
        <v>48</v>
      </c>
      <c r="B18" s="348" t="s">
        <v>49</v>
      </c>
      <c r="C18" s="342">
        <f>'K1 Gaasi ja vedelkütusekatlad'!X22</f>
        <v>4.4217000000000004E-6</v>
      </c>
      <c r="D18" s="343">
        <f>'K1 Gaasi ja vedelkütusekatlad'!Y22</f>
        <v>3.7699200000000007E-5</v>
      </c>
      <c r="E18" s="342">
        <f>'K2 Gaasi ja vedelkütusekatl'!X22</f>
        <v>2.9478000000000004E-6</v>
      </c>
      <c r="F18" s="343">
        <f>'K2 Gaasi ja vedelkütusekatl'!Y22</f>
        <v>2.9131200000000003E-5</v>
      </c>
      <c r="G18" s="342">
        <f>'K3 Tahkekütusekatel'!O22</f>
        <v>1.2E-2</v>
      </c>
      <c r="H18" s="343">
        <f>'K3 Tahkekütusekatel'!P22</f>
        <v>0.33346656000000002</v>
      </c>
      <c r="I18" s="344"/>
      <c r="J18" s="344"/>
      <c r="K18" s="345">
        <f t="shared" si="0"/>
        <v>1.20073695E-2</v>
      </c>
      <c r="L18" s="346">
        <f t="shared" si="1"/>
        <v>0.33353339040000002</v>
      </c>
    </row>
    <row r="19" spans="1:12">
      <c r="A19" s="45" t="s">
        <v>50</v>
      </c>
      <c r="B19" s="46" t="s">
        <v>51</v>
      </c>
      <c r="C19" s="274">
        <f>'K1 Gaasi ja vedelkütusekatlad'!X23</f>
        <v>4.335E-2</v>
      </c>
      <c r="D19" s="275">
        <f>'K1 Gaasi ja vedelkütusekatlad'!Y23</f>
        <v>0.36960299999999996</v>
      </c>
      <c r="E19" s="274">
        <f>'K2 Gaasi ja vedelkütusekatl'!X23</f>
        <v>2.8900000000000002E-2</v>
      </c>
      <c r="F19" s="275">
        <f>'K2 Gaasi ja vedelkütusekatl'!Y23</f>
        <v>0.28771200000000002</v>
      </c>
      <c r="G19" s="274">
        <f>'K3 Tahkekütusekatel'!O23</f>
        <v>3.0720000000000001</v>
      </c>
      <c r="H19" s="275">
        <f>'K3 Tahkekütusekatel'!P23</f>
        <v>100.69248</v>
      </c>
      <c r="I19" s="98"/>
      <c r="J19" s="98"/>
      <c r="K19" s="126">
        <f t="shared" si="0"/>
        <v>3.14425</v>
      </c>
      <c r="L19" s="125">
        <f t="shared" si="1"/>
        <v>101.349795</v>
      </c>
    </row>
    <row r="20" spans="1:12">
      <c r="A20" s="52" t="s">
        <v>52</v>
      </c>
      <c r="B20" s="53" t="s">
        <v>53</v>
      </c>
      <c r="C20" s="274">
        <f>'K1 Gaasi ja vedelkütusekatlad'!X24</f>
        <v>0</v>
      </c>
      <c r="D20" s="275">
        <f>'K1 Gaasi ja vedelkütusekatlad'!Y24</f>
        <v>0</v>
      </c>
      <c r="E20" s="274">
        <f>'K2 Gaasi ja vedelkütusekatl'!X24</f>
        <v>0</v>
      </c>
      <c r="F20" s="275">
        <f>'K2 Gaasi ja vedelkütusekatl'!Y24</f>
        <v>0</v>
      </c>
      <c r="G20" s="274">
        <f>'K3 Tahkekütusekatel'!O24</f>
        <v>0.222</v>
      </c>
      <c r="H20" s="275">
        <f>'K3 Tahkekütusekatel'!P24</f>
        <v>7.276605</v>
      </c>
      <c r="I20" s="98"/>
      <c r="J20" s="98"/>
      <c r="K20" s="126">
        <f t="shared" si="0"/>
        <v>0.222</v>
      </c>
      <c r="L20" s="125">
        <f t="shared" si="1"/>
        <v>7.276605</v>
      </c>
    </row>
    <row r="21" spans="1:12" s="347" customFormat="1" ht="28.8">
      <c r="A21" s="340"/>
      <c r="B21" s="341" t="s">
        <v>54</v>
      </c>
      <c r="C21" s="342">
        <f>'K1 Gaasi ja vedelkütusekatlad'!X25</f>
        <v>8.6699999999999999E-2</v>
      </c>
      <c r="D21" s="343">
        <f>'K1 Gaasi ja vedelkütusekatlad'!Y25</f>
        <v>0.73920599999999992</v>
      </c>
      <c r="E21" s="342">
        <f>'K2 Gaasi ja vedelkütusekatl'!X25</f>
        <v>5.7800000000000004E-2</v>
      </c>
      <c r="F21" s="343">
        <f>'K2 Gaasi ja vedelkütusekatl'!Y25</f>
        <v>0.57542400000000005</v>
      </c>
      <c r="G21" s="342">
        <f>'K3 Tahkekütusekatel'!O25</f>
        <v>0.6</v>
      </c>
      <c r="H21" s="343">
        <f>'K3 Tahkekütusekatel'!P25</f>
        <v>19.666499999999999</v>
      </c>
      <c r="I21" s="349"/>
      <c r="J21" s="349"/>
      <c r="K21" s="345">
        <f t="shared" si="0"/>
        <v>0.74449999999999994</v>
      </c>
      <c r="L21" s="346">
        <f t="shared" si="1"/>
        <v>20.98113</v>
      </c>
    </row>
    <row r="22" spans="1:12" s="347" customFormat="1">
      <c r="A22" s="350"/>
      <c r="B22" s="348" t="s">
        <v>56</v>
      </c>
      <c r="C22" s="342">
        <f>'K1 Gaasi ja vedelkütusekatlad'!X26</f>
        <v>8.6700000000000006E-3</v>
      </c>
      <c r="D22" s="343">
        <f>'K1 Gaasi ja vedelkütusekatlad'!Y26</f>
        <v>7.3920599999999989E-2</v>
      </c>
      <c r="E22" s="342">
        <f>'K2 Gaasi ja vedelkütusekatl'!X26</f>
        <v>5.7800000000000004E-3</v>
      </c>
      <c r="F22" s="343">
        <f>'K2 Gaasi ja vedelkütusekatl'!Y26</f>
        <v>5.75424E-2</v>
      </c>
      <c r="G22" s="342">
        <f>'K3 Tahkekütusekatel'!O26</f>
        <v>7.8E-2</v>
      </c>
      <c r="H22" s="343">
        <f>'K3 Tahkekütusekatel'!P26</f>
        <v>2.1675326400000001</v>
      </c>
      <c r="I22" s="349"/>
      <c r="J22" s="349"/>
      <c r="K22" s="345">
        <f t="shared" si="0"/>
        <v>9.2450000000000004E-2</v>
      </c>
      <c r="L22" s="346">
        <f t="shared" si="1"/>
        <v>2.2989956400000002</v>
      </c>
    </row>
    <row r="23" spans="1:12" s="347" customFormat="1">
      <c r="A23" s="350"/>
      <c r="B23" s="348" t="s">
        <v>58</v>
      </c>
      <c r="C23" s="342">
        <f>'K1 Gaasi ja vedelkütusekatlad'!X27</f>
        <v>8.6700000000000006E-3</v>
      </c>
      <c r="D23" s="343">
        <f>'K1 Gaasi ja vedelkütusekatlad'!Y27</f>
        <v>7.3920599999999989E-2</v>
      </c>
      <c r="E23" s="342">
        <f>'K2 Gaasi ja vedelkütusekatl'!X27</f>
        <v>5.7800000000000004E-3</v>
      </c>
      <c r="F23" s="343">
        <f>'K2 Gaasi ja vedelkütusekatl'!Y27</f>
        <v>5.75424E-2</v>
      </c>
      <c r="G23" s="342">
        <f>'K3 Tahkekütusekatel'!O27</f>
        <v>0.10199999999999999</v>
      </c>
      <c r="H23" s="343">
        <f>'K3 Tahkekütusekatel'!P27</f>
        <v>3.1466400000000001</v>
      </c>
      <c r="I23" s="349"/>
      <c r="J23" s="349"/>
      <c r="K23" s="345">
        <f t="shared" si="0"/>
        <v>0.11645</v>
      </c>
      <c r="L23" s="346">
        <f t="shared" si="1"/>
        <v>3.2781030000000002</v>
      </c>
    </row>
    <row r="24" spans="1:12" s="347" customFormat="1">
      <c r="A24" s="340"/>
      <c r="B24" s="348" t="s">
        <v>59</v>
      </c>
      <c r="C24" s="342">
        <f>'K1 Gaasi ja vedelkütusekatlad'!X28</f>
        <v>8.6700000000000006E-3</v>
      </c>
      <c r="D24" s="343">
        <f>'K1 Gaasi ja vedelkütusekatlad'!Y28</f>
        <v>7.3920599999999989E-2</v>
      </c>
      <c r="E24" s="342">
        <f>'K2 Gaasi ja vedelkütusekatl'!X28</f>
        <v>5.7800000000000004E-3</v>
      </c>
      <c r="F24" s="343">
        <f>'K2 Gaasi ja vedelkütusekatl'!Y28</f>
        <v>5.75424E-2</v>
      </c>
      <c r="G24" s="342">
        <f>'K3 Tahkekütusekatel'!O28</f>
        <v>5.3999999999999999E-2</v>
      </c>
      <c r="H24" s="343">
        <f>'K3 Tahkekütusekatel'!P28</f>
        <v>1.50059952</v>
      </c>
      <c r="I24" s="349"/>
      <c r="J24" s="349"/>
      <c r="K24" s="345">
        <f t="shared" si="0"/>
        <v>6.8449999999999997E-2</v>
      </c>
      <c r="L24" s="346">
        <f t="shared" si="1"/>
        <v>1.6320625199999999</v>
      </c>
    </row>
    <row r="25" spans="1:12" s="347" customFormat="1">
      <c r="A25" s="340"/>
      <c r="B25" s="348" t="s">
        <v>60</v>
      </c>
      <c r="C25" s="342">
        <f>'K1 Gaasi ja vedelkütusekatlad'!X29</f>
        <v>8.6700000000000006E-3</v>
      </c>
      <c r="D25" s="343">
        <f>'K1 Gaasi ja vedelkütusekatlad'!Y29</f>
        <v>7.3920599999999989E-2</v>
      </c>
      <c r="E25" s="342">
        <f>'K2 Gaasi ja vedelkütusekatl'!X29</f>
        <v>5.7800000000000004E-3</v>
      </c>
      <c r="F25" s="343">
        <f>'K2 Gaasi ja vedelkütusekatl'!Y29</f>
        <v>5.75424E-2</v>
      </c>
      <c r="G25" s="342">
        <f>'K3 Tahkekütusekatel'!O29</f>
        <v>3.5999999999999997E-2</v>
      </c>
      <c r="H25" s="343">
        <f>'K3 Tahkekütusekatel'!P29</f>
        <v>1.0003996799999999</v>
      </c>
      <c r="I25" s="349"/>
      <c r="J25" s="349"/>
      <c r="K25" s="345">
        <f t="shared" si="0"/>
        <v>5.0449999999999995E-2</v>
      </c>
      <c r="L25" s="346">
        <f t="shared" si="1"/>
        <v>1.1318626799999998</v>
      </c>
    </row>
    <row r="26" spans="1:12">
      <c r="A26" s="57" t="s">
        <v>63</v>
      </c>
      <c r="B26" s="57" t="s">
        <v>64</v>
      </c>
      <c r="C26" s="274"/>
      <c r="D26" s="275">
        <f>'K1 Gaasi ja vedelkütusekatlad'!Y30</f>
        <v>5711.073868800001</v>
      </c>
      <c r="E26" s="274"/>
      <c r="F26" s="275">
        <f>'K2 Gaasi ja vedelkütusekatl'!Y30</f>
        <v>4448.6259609600011</v>
      </c>
      <c r="G26" s="275"/>
      <c r="H26" s="275">
        <f>'K3 Tahkekütusekatel'!P31</f>
        <v>17655.320325887998</v>
      </c>
      <c r="I26" s="98"/>
      <c r="J26" s="98"/>
      <c r="K26" s="274"/>
      <c r="L26" s="125">
        <f t="shared" si="1"/>
        <v>27815.020155648002</v>
      </c>
    </row>
    <row r="27" spans="1:12">
      <c r="A27" s="57" t="s">
        <v>61</v>
      </c>
      <c r="B27" s="57" t="s">
        <v>62</v>
      </c>
      <c r="C27" s="98"/>
      <c r="D27" s="98"/>
      <c r="E27" s="98"/>
      <c r="F27" s="98"/>
      <c r="G27" s="147"/>
      <c r="H27" s="275">
        <f>'K3 Tahkekütusekatel'!P30</f>
        <v>21545.358743999997</v>
      </c>
      <c r="I27" s="98"/>
      <c r="J27" s="98"/>
      <c r="K27" s="274"/>
      <c r="L27" s="125">
        <f t="shared" si="1"/>
        <v>21545.358743999997</v>
      </c>
    </row>
    <row r="28" spans="1:12">
      <c r="A28" s="98" t="s">
        <v>247</v>
      </c>
      <c r="B28" s="46" t="s">
        <v>168</v>
      </c>
      <c r="C28" s="98"/>
      <c r="D28" s="98"/>
      <c r="E28" s="98"/>
      <c r="F28" s="98"/>
      <c r="G28" s="147"/>
      <c r="H28" s="147"/>
      <c r="I28" s="123">
        <f>'Mahutid koond'!K7</f>
        <v>5.2143141106405898E-3</v>
      </c>
      <c r="J28" s="124">
        <f>'Mahutid koond'!L7</f>
        <v>2.8088169318068925E-3</v>
      </c>
      <c r="K28" s="126">
        <f t="shared" si="0"/>
        <v>5.2143141106405898E-3</v>
      </c>
      <c r="L28" s="125">
        <f t="shared" si="0"/>
        <v>2.8088169318068925E-3</v>
      </c>
    </row>
  </sheetData>
  <mergeCells count="7">
    <mergeCell ref="K1:L1"/>
    <mergeCell ref="G1:H1"/>
    <mergeCell ref="A1:A2"/>
    <mergeCell ref="B1:B2"/>
    <mergeCell ref="I1:J1"/>
    <mergeCell ref="C1:D1"/>
    <mergeCell ref="E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38"/>
  <sheetViews>
    <sheetView zoomScaleNormal="100" workbookViewId="0">
      <selection activeCell="B8" sqref="B8"/>
    </sheetView>
  </sheetViews>
  <sheetFormatPr defaultRowHeight="14.4"/>
  <cols>
    <col min="1" max="1" width="12.21875" customWidth="1"/>
    <col min="2" max="2" width="18.77734375" customWidth="1"/>
    <col min="3" max="3" width="22" bestFit="1" customWidth="1"/>
    <col min="4" max="4" width="10.88671875" bestFit="1" customWidth="1"/>
    <col min="5" max="5" width="15" bestFit="1" customWidth="1"/>
    <col min="6" max="6" width="16.6640625" bestFit="1" customWidth="1"/>
    <col min="7" max="7" width="13.88671875" bestFit="1" customWidth="1"/>
    <col min="8" max="8" width="14.88671875" bestFit="1" customWidth="1"/>
    <col min="9" max="9" width="12.6640625" bestFit="1" customWidth="1"/>
    <col min="10" max="10" width="12.109375" bestFit="1" customWidth="1"/>
    <col min="11" max="12" width="10.5546875" bestFit="1" customWidth="1"/>
    <col min="13" max="13" width="11.109375" bestFit="1" customWidth="1"/>
    <col min="14" max="15" width="10.5546875" bestFit="1" customWidth="1"/>
    <col min="16" max="16" width="12.109375" bestFit="1" customWidth="1"/>
    <col min="17" max="24" width="10.5546875" bestFit="1" customWidth="1"/>
  </cols>
  <sheetData>
    <row r="3" spans="1:25">
      <c r="A3" s="466" t="s">
        <v>173</v>
      </c>
      <c r="B3" s="461" t="s">
        <v>174</v>
      </c>
      <c r="C3" s="461" t="s">
        <v>82</v>
      </c>
      <c r="D3" s="461" t="s">
        <v>175</v>
      </c>
      <c r="E3" s="461" t="s">
        <v>176</v>
      </c>
      <c r="F3" s="461" t="s">
        <v>177</v>
      </c>
      <c r="G3" s="461" t="s">
        <v>178</v>
      </c>
      <c r="H3" s="461" t="s">
        <v>179</v>
      </c>
      <c r="I3" s="461" t="s">
        <v>180</v>
      </c>
      <c r="J3" s="463" t="s">
        <v>75</v>
      </c>
      <c r="K3" s="464"/>
      <c r="L3" s="464"/>
      <c r="M3" s="464"/>
      <c r="N3" s="464"/>
      <c r="O3" s="464"/>
      <c r="P3" s="465"/>
      <c r="Q3" s="462" t="s">
        <v>181</v>
      </c>
      <c r="R3" s="462"/>
      <c r="S3" s="462"/>
      <c r="T3" s="462"/>
      <c r="U3" s="462"/>
      <c r="V3" s="462"/>
      <c r="W3" s="462"/>
      <c r="X3" s="462"/>
    </row>
    <row r="4" spans="1:25">
      <c r="A4" s="466"/>
      <c r="B4" s="461"/>
      <c r="C4" s="461"/>
      <c r="D4" s="461"/>
      <c r="E4" s="461"/>
      <c r="F4" s="461"/>
      <c r="G4" s="461"/>
      <c r="H4" s="461"/>
      <c r="I4" s="461"/>
      <c r="J4" s="224" t="s">
        <v>74</v>
      </c>
      <c r="K4" s="224" t="s">
        <v>182</v>
      </c>
      <c r="L4" s="224" t="s">
        <v>183</v>
      </c>
      <c r="M4" s="224" t="s">
        <v>20</v>
      </c>
      <c r="N4" s="224" t="s">
        <v>26</v>
      </c>
      <c r="O4" s="224" t="s">
        <v>28</v>
      </c>
      <c r="P4" s="266" t="s">
        <v>247</v>
      </c>
      <c r="Q4" s="266" t="s">
        <v>34</v>
      </c>
      <c r="R4" s="266" t="s">
        <v>37</v>
      </c>
      <c r="S4" s="266" t="s">
        <v>39</v>
      </c>
      <c r="T4" s="224" t="s">
        <v>41</v>
      </c>
      <c r="U4" s="224" t="s">
        <v>43</v>
      </c>
      <c r="V4" s="224" t="s">
        <v>45</v>
      </c>
      <c r="W4" s="224" t="s">
        <v>47</v>
      </c>
      <c r="X4" s="224" t="s">
        <v>51</v>
      </c>
    </row>
    <row r="5" spans="1:25">
      <c r="A5" s="265" t="s">
        <v>252</v>
      </c>
      <c r="B5" s="327" t="s">
        <v>248</v>
      </c>
      <c r="C5" s="329" t="s">
        <v>256</v>
      </c>
      <c r="D5" s="330" t="s">
        <v>257</v>
      </c>
      <c r="E5" s="172">
        <v>0.25</v>
      </c>
      <c r="F5" s="172">
        <v>31</v>
      </c>
      <c r="G5" s="172">
        <v>10.3</v>
      </c>
      <c r="H5" s="172">
        <v>185</v>
      </c>
      <c r="I5" s="331" t="s">
        <v>258</v>
      </c>
      <c r="J5" s="335"/>
      <c r="K5" s="335">
        <v>0.11600000000000001</v>
      </c>
      <c r="L5" s="335">
        <v>0.11600000000000001</v>
      </c>
      <c r="M5" s="335">
        <v>8.0000000000000002E-3</v>
      </c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</row>
    <row r="6" spans="1:25" s="312" customFormat="1">
      <c r="A6" s="288" t="s">
        <v>253</v>
      </c>
      <c r="B6" s="351" t="s">
        <v>249</v>
      </c>
      <c r="C6" s="352" t="s">
        <v>259</v>
      </c>
      <c r="D6" s="352" t="s">
        <v>257</v>
      </c>
      <c r="E6" s="147">
        <v>0.3</v>
      </c>
      <c r="F6" s="147">
        <v>21</v>
      </c>
      <c r="G6" s="147">
        <v>6.79</v>
      </c>
      <c r="H6" s="147">
        <v>185</v>
      </c>
      <c r="I6" s="333" t="s">
        <v>260</v>
      </c>
      <c r="J6" s="353">
        <v>1E-3</v>
      </c>
      <c r="K6" s="353">
        <v>4.2000000000000003E-2</v>
      </c>
      <c r="L6" s="353">
        <v>2.9000000000000001E-2</v>
      </c>
      <c r="M6" s="353">
        <v>2E-3</v>
      </c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</row>
    <row r="7" spans="1:25">
      <c r="A7" s="265" t="s">
        <v>254</v>
      </c>
      <c r="B7" s="328" t="s">
        <v>250</v>
      </c>
      <c r="C7" s="329" t="s">
        <v>261</v>
      </c>
      <c r="D7" s="329" t="s">
        <v>262</v>
      </c>
      <c r="E7" s="98">
        <v>0.02</v>
      </c>
      <c r="F7" s="98">
        <v>0.45</v>
      </c>
      <c r="G7" s="98">
        <v>2.1</v>
      </c>
      <c r="H7" s="98">
        <v>5</v>
      </c>
      <c r="I7" s="332" t="s">
        <v>263</v>
      </c>
      <c r="J7" s="335"/>
      <c r="K7" s="335"/>
      <c r="L7" s="335"/>
      <c r="M7" s="335">
        <v>0.08</v>
      </c>
      <c r="N7" s="335"/>
      <c r="O7" s="335"/>
      <c r="P7" s="335">
        <v>2E-3</v>
      </c>
      <c r="Q7" s="335"/>
      <c r="R7" s="335"/>
      <c r="S7" s="335"/>
      <c r="T7" s="335"/>
      <c r="U7" s="335"/>
      <c r="V7" s="335"/>
      <c r="W7" s="335"/>
      <c r="X7" s="335"/>
    </row>
    <row r="8" spans="1:25">
      <c r="A8" s="265" t="s">
        <v>255</v>
      </c>
      <c r="B8" s="328" t="s">
        <v>251</v>
      </c>
      <c r="C8" s="329" t="s">
        <v>264</v>
      </c>
      <c r="D8" s="329" t="s">
        <v>262</v>
      </c>
      <c r="E8" s="98">
        <v>0.02</v>
      </c>
      <c r="F8" s="98">
        <v>0.45</v>
      </c>
      <c r="G8" s="98">
        <v>2.1</v>
      </c>
      <c r="H8" s="98">
        <v>5</v>
      </c>
      <c r="I8" s="331" t="s">
        <v>263</v>
      </c>
      <c r="J8" s="336"/>
      <c r="K8" s="336"/>
      <c r="L8" s="336"/>
      <c r="M8" s="336">
        <v>1E-3</v>
      </c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</row>
    <row r="9" spans="1:25">
      <c r="I9" s="333" t="s">
        <v>257</v>
      </c>
      <c r="J9" s="335">
        <f>Koond!K6</f>
        <v>9.3778746066327763</v>
      </c>
      <c r="K9" s="335">
        <f>Koond!K3</f>
        <v>3.2899500000000002</v>
      </c>
      <c r="L9" s="335">
        <f>Koond!K4</f>
        <v>7.8069000000000006</v>
      </c>
      <c r="M9" s="335">
        <f>Koond!K5</f>
        <v>0.36606047035468636</v>
      </c>
      <c r="N9" s="335">
        <f>Koond!K8</f>
        <v>0.97470000000000001</v>
      </c>
      <c r="O9" s="335">
        <f>Koond!K9</f>
        <v>0.9627</v>
      </c>
      <c r="P9" s="335">
        <f>Koond!K28</f>
        <v>5.2143141106405898E-3</v>
      </c>
      <c r="Q9" s="335">
        <f>Koond!K11</f>
        <v>0.28849999999999998</v>
      </c>
      <c r="R9" s="335">
        <f>Koond!K12</f>
        <v>8.2335000000000005E-2</v>
      </c>
      <c r="S9" s="335">
        <f>Koond!K13</f>
        <v>5.5445000000000001E-2</v>
      </c>
      <c r="T9" s="335">
        <f>Koond!K14</f>
        <v>0.64878500000000006</v>
      </c>
      <c r="U9" s="335">
        <f>Koond!K15</f>
        <v>0.32212000000000002</v>
      </c>
      <c r="V9" s="335">
        <f>Koond!K16</f>
        <v>0.20669999999999999</v>
      </c>
      <c r="W9" s="335">
        <f>Koond!K17</f>
        <v>2.9187999999999996</v>
      </c>
      <c r="X9" s="335">
        <f>Koond!K19</f>
        <v>3.14425</v>
      </c>
    </row>
    <row r="10" spans="1:25">
      <c r="I10" s="334" t="s">
        <v>265</v>
      </c>
      <c r="J10" s="339">
        <f>SUM(J5:J9)</f>
        <v>9.3788746066327757</v>
      </c>
      <c r="K10" s="339">
        <f t="shared" ref="K10:X10" si="0">SUM(K5:K9)</f>
        <v>3.4479500000000001</v>
      </c>
      <c r="L10" s="339">
        <f t="shared" si="0"/>
        <v>7.9519000000000002</v>
      </c>
      <c r="M10" s="339">
        <f t="shared" si="0"/>
        <v>0.45706047035468633</v>
      </c>
      <c r="N10" s="339">
        <f t="shared" si="0"/>
        <v>0.97470000000000001</v>
      </c>
      <c r="O10" s="339">
        <f t="shared" si="0"/>
        <v>0.9627</v>
      </c>
      <c r="P10" s="339">
        <f t="shared" si="0"/>
        <v>7.2143141106405899E-3</v>
      </c>
      <c r="Q10" s="339">
        <f t="shared" si="0"/>
        <v>0.28849999999999998</v>
      </c>
      <c r="R10" s="339">
        <f t="shared" si="0"/>
        <v>8.2335000000000005E-2</v>
      </c>
      <c r="S10" s="339">
        <f t="shared" si="0"/>
        <v>5.5445000000000001E-2</v>
      </c>
      <c r="T10" s="339">
        <f t="shared" si="0"/>
        <v>0.64878500000000006</v>
      </c>
      <c r="U10" s="339">
        <f t="shared" si="0"/>
        <v>0.32212000000000002</v>
      </c>
      <c r="V10" s="339">
        <f t="shared" si="0"/>
        <v>0.20669999999999999</v>
      </c>
      <c r="W10" s="339">
        <f t="shared" si="0"/>
        <v>2.9187999999999996</v>
      </c>
      <c r="X10" s="339">
        <f t="shared" si="0"/>
        <v>3.14425</v>
      </c>
    </row>
    <row r="13" spans="1:25">
      <c r="D13" s="226"/>
    </row>
    <row r="14" spans="1:25">
      <c r="D14" s="226"/>
    </row>
    <row r="15" spans="1:25">
      <c r="D15" s="227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</row>
    <row r="16" spans="1:25">
      <c r="D16" s="227"/>
      <c r="J16" s="226"/>
      <c r="K16" s="79"/>
      <c r="L16" s="227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8"/>
      <c r="Y16" s="226"/>
    </row>
    <row r="17" spans="4:25">
      <c r="D17" s="227"/>
      <c r="J17" s="226"/>
      <c r="K17" s="79"/>
      <c r="L17" s="227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8"/>
      <c r="Y17" s="226"/>
    </row>
    <row r="18" spans="4:25">
      <c r="D18" s="227"/>
      <c r="J18" s="226"/>
      <c r="K18" s="229"/>
      <c r="L18" s="227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8"/>
      <c r="Y18" s="226"/>
    </row>
    <row r="19" spans="4:25">
      <c r="D19" s="227"/>
      <c r="J19" s="226"/>
      <c r="K19" s="230"/>
      <c r="L19" s="227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8"/>
      <c r="Y19" s="226"/>
    </row>
    <row r="20" spans="4:25">
      <c r="D20" s="227"/>
      <c r="J20" s="226"/>
      <c r="K20" s="231"/>
      <c r="L20" s="227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8"/>
      <c r="Y20" s="226"/>
    </row>
    <row r="21" spans="4:25">
      <c r="D21" s="227"/>
      <c r="J21" s="226"/>
      <c r="K21" s="232"/>
      <c r="L21" s="227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8"/>
      <c r="Y21" s="226"/>
    </row>
    <row r="22" spans="4:25">
      <c r="D22" s="227"/>
      <c r="J22" s="226"/>
      <c r="K22" s="232"/>
      <c r="L22" s="227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8"/>
      <c r="Y22" s="226"/>
    </row>
    <row r="23" spans="4:25">
      <c r="D23" s="234"/>
      <c r="J23" s="226"/>
      <c r="K23" s="232"/>
      <c r="L23" s="227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8"/>
      <c r="Y23" s="226"/>
    </row>
    <row r="24" spans="4:25">
      <c r="D24" s="235"/>
      <c r="J24" s="226"/>
      <c r="K24" s="233"/>
      <c r="L24" s="234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8"/>
      <c r="Y24" s="226"/>
    </row>
    <row r="25" spans="4:25">
      <c r="D25" s="235"/>
      <c r="J25" s="226"/>
      <c r="K25" s="233"/>
      <c r="L25" s="235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8"/>
      <c r="Y25" s="226"/>
    </row>
    <row r="26" spans="4:25">
      <c r="D26" s="235"/>
      <c r="J26" s="226"/>
      <c r="K26" s="233"/>
      <c r="L26" s="235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8"/>
      <c r="Y26" s="226"/>
    </row>
    <row r="27" spans="4:25">
      <c r="D27" s="235"/>
      <c r="J27" s="226"/>
      <c r="K27" s="233"/>
      <c r="L27" s="235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8"/>
      <c r="Y27" s="226"/>
    </row>
    <row r="28" spans="4:25">
      <c r="D28" s="235"/>
      <c r="J28" s="226"/>
      <c r="K28" s="233"/>
      <c r="L28" s="235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8"/>
      <c r="Y28" s="226"/>
    </row>
    <row r="29" spans="4:25">
      <c r="D29" s="234"/>
      <c r="J29" s="226"/>
      <c r="K29" s="233"/>
      <c r="L29" s="235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8"/>
      <c r="Y29" s="226"/>
    </row>
    <row r="30" spans="4:25">
      <c r="D30" s="234"/>
      <c r="J30" s="226"/>
      <c r="K30" s="233"/>
      <c r="L30" s="234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8"/>
      <c r="Y30" s="226"/>
    </row>
    <row r="31" spans="4:25">
      <c r="D31" s="234"/>
      <c r="J31" s="226"/>
      <c r="K31" s="233"/>
      <c r="L31" s="234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8"/>
      <c r="Y31" s="226"/>
    </row>
    <row r="32" spans="4:25">
      <c r="D32" s="226"/>
      <c r="J32" s="226"/>
      <c r="K32" s="233"/>
      <c r="L32" s="234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8"/>
      <c r="Y32" s="226"/>
    </row>
    <row r="33" spans="4:25">
      <c r="D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</row>
    <row r="34" spans="4:25">
      <c r="D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</row>
    <row r="35" spans="4:25">
      <c r="D35" s="226"/>
    </row>
    <row r="36" spans="4:25">
      <c r="D36" s="226"/>
    </row>
    <row r="37" spans="4:25">
      <c r="D37" s="226"/>
    </row>
    <row r="38" spans="4:25">
      <c r="D38" s="226"/>
    </row>
  </sheetData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Q3:X3"/>
    <mergeCell ref="J3:P3"/>
  </mergeCells>
  <hyperlinks>
    <hyperlink ref="B5" r:id="rId1" display="https://kotkas.envir.ee/registry_emission_source/emission_source_view?represented_id=459278&amp;registry_code=HEIT0002121&amp;cft=dad2ec2d"/>
    <hyperlink ref="B6" r:id="rId2" display="https://kotkas.envir.ee/registry_emission_source/emission_source_view?represented_id=459278&amp;registry_code=HEIT0009924&amp;cft=dad2ec2d"/>
    <hyperlink ref="B7" r:id="rId3" display="https://kotkas.envir.ee/registry_emission_source/emission_source_view?represented_id=459278&amp;registry_code=HEIT0010569&amp;cft=dad2ec2d"/>
    <hyperlink ref="B8" r:id="rId4" display="https://kotkas.envir.ee/registry_emission_source/emission_source_view?represented_id=459278&amp;registry_code=HEIT0010571&amp;cft=dad2ec2d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="90" zoomScaleNormal="90" workbookViewId="0">
      <selection activeCell="AC25" sqref="AC25"/>
    </sheetView>
  </sheetViews>
  <sheetFormatPr defaultRowHeight="14.4"/>
  <cols>
    <col min="1" max="1" width="25.88671875" style="8" customWidth="1"/>
    <col min="2" max="2" width="26.44140625" style="8" customWidth="1"/>
    <col min="3" max="3" width="10.88671875" style="8" customWidth="1"/>
    <col min="4" max="4" width="9.5546875" style="8" customWidth="1"/>
    <col min="5" max="5" width="14.21875" style="8" customWidth="1"/>
    <col min="6" max="6" width="13.44140625" style="8" customWidth="1"/>
    <col min="7" max="7" width="2.109375" style="9" customWidth="1"/>
    <col min="8" max="10" width="13.6640625" style="9" customWidth="1"/>
    <col min="11" max="11" width="1.6640625" style="9" customWidth="1"/>
    <col min="12" max="14" width="13.6640625" style="9" customWidth="1"/>
    <col min="15" max="15" width="2" style="9" customWidth="1"/>
    <col min="16" max="18" width="10.33203125" style="9" customWidth="1"/>
    <col min="19" max="19" width="2.21875" style="9" customWidth="1"/>
    <col min="20" max="20" width="12.5546875" style="9" customWidth="1"/>
    <col min="21" max="21" width="11.21875" style="9" customWidth="1"/>
    <col min="22" max="22" width="11" style="9" customWidth="1"/>
    <col min="23" max="23" width="8.88671875" style="9"/>
    <col min="24" max="24" width="13" style="9" customWidth="1"/>
    <col min="25" max="25" width="13" style="8" customWidth="1"/>
    <col min="26" max="16384" width="8.88671875" style="8"/>
  </cols>
  <sheetData>
    <row r="1" spans="1:25" ht="14.4" customHeight="1">
      <c r="A1" s="102"/>
      <c r="B1" s="103"/>
      <c r="C1" s="104"/>
      <c r="D1" s="372" t="s">
        <v>76</v>
      </c>
      <c r="E1" s="372"/>
      <c r="F1" s="373"/>
      <c r="G1" s="71"/>
      <c r="H1" s="374" t="s">
        <v>73</v>
      </c>
      <c r="I1" s="372"/>
      <c r="J1" s="373"/>
      <c r="K1" s="91"/>
      <c r="L1" s="374" t="s">
        <v>77</v>
      </c>
      <c r="M1" s="372"/>
      <c r="N1" s="373"/>
      <c r="P1" s="374" t="s">
        <v>204</v>
      </c>
      <c r="Q1" s="372"/>
      <c r="R1" s="373"/>
      <c r="T1" s="374" t="s">
        <v>205</v>
      </c>
      <c r="U1" s="372"/>
      <c r="V1" s="373"/>
      <c r="W1" s="71"/>
    </row>
    <row r="2" spans="1:25">
      <c r="A2" s="23"/>
      <c r="B2" s="9"/>
      <c r="C2" s="24"/>
      <c r="D2" s="375" t="s">
        <v>0</v>
      </c>
      <c r="E2" s="25">
        <f>E4*E5</f>
        <v>73920</v>
      </c>
      <c r="F2" s="30" t="s">
        <v>1</v>
      </c>
      <c r="G2" s="11"/>
      <c r="H2" s="375" t="s">
        <v>0</v>
      </c>
      <c r="I2" s="25">
        <f>I4*I5</f>
        <v>73872</v>
      </c>
      <c r="J2" s="30" t="s">
        <v>1</v>
      </c>
      <c r="K2" s="11"/>
      <c r="L2" s="375" t="s">
        <v>0</v>
      </c>
      <c r="M2" s="72">
        <f>M4*M5</f>
        <v>73920.599999999991</v>
      </c>
      <c r="N2" s="30" t="s">
        <v>1</v>
      </c>
      <c r="P2" s="375" t="s">
        <v>0</v>
      </c>
      <c r="Q2" s="72">
        <f>Q4*Q5</f>
        <v>73920.599999999991</v>
      </c>
      <c r="R2" s="30" t="s">
        <v>1</v>
      </c>
      <c r="T2" s="375" t="s">
        <v>0</v>
      </c>
      <c r="U2" s="72">
        <f>U4*U5</f>
        <v>73834.2</v>
      </c>
      <c r="V2" s="30" t="s">
        <v>1</v>
      </c>
      <c r="W2" s="11"/>
    </row>
    <row r="3" spans="1:25">
      <c r="A3" s="378" t="s">
        <v>2</v>
      </c>
      <c r="B3" s="378"/>
      <c r="C3" s="378"/>
      <c r="D3" s="376"/>
      <c r="E3" s="29">
        <f>Algandmed!C5</f>
        <v>8.67</v>
      </c>
      <c r="F3" s="30" t="s">
        <v>3</v>
      </c>
      <c r="G3" s="11"/>
      <c r="H3" s="376"/>
      <c r="I3" s="29">
        <f>E3</f>
        <v>8.67</v>
      </c>
      <c r="J3" s="30" t="s">
        <v>3</v>
      </c>
      <c r="K3" s="11"/>
      <c r="L3" s="376"/>
      <c r="M3" s="29">
        <f>E3</f>
        <v>8.67</v>
      </c>
      <c r="N3" s="30" t="s">
        <v>3</v>
      </c>
      <c r="P3" s="376"/>
      <c r="Q3" s="29">
        <f>I3</f>
        <v>8.67</v>
      </c>
      <c r="R3" s="30" t="s">
        <v>3</v>
      </c>
      <c r="T3" s="376"/>
      <c r="U3" s="29">
        <f>M3</f>
        <v>8.67</v>
      </c>
      <c r="V3" s="30" t="s">
        <v>3</v>
      </c>
      <c r="W3" s="11"/>
    </row>
    <row r="4" spans="1:25">
      <c r="A4" s="379" t="s">
        <v>4</v>
      </c>
      <c r="B4" s="379"/>
      <c r="C4" s="379"/>
      <c r="D4" s="376"/>
      <c r="E4" s="72">
        <f>Algandmed!F5</f>
        <v>2200</v>
      </c>
      <c r="F4" s="30" t="s">
        <v>6</v>
      </c>
      <c r="G4" s="11"/>
      <c r="H4" s="376"/>
      <c r="I4" s="72">
        <f>Algandmed!F6</f>
        <v>1900</v>
      </c>
      <c r="J4" s="30" t="s">
        <v>5</v>
      </c>
      <c r="K4" s="11"/>
      <c r="L4" s="376"/>
      <c r="M4" s="72">
        <f>Algandmed!F7</f>
        <v>1755</v>
      </c>
      <c r="N4" s="30" t="s">
        <v>5</v>
      </c>
      <c r="P4" s="376"/>
      <c r="Q4" s="72">
        <f>Algandmed!F8</f>
        <v>1755</v>
      </c>
      <c r="R4" s="30" t="s">
        <v>5</v>
      </c>
      <c r="T4" s="376"/>
      <c r="U4" s="72">
        <f>Algandmed!F9</f>
        <v>1815</v>
      </c>
      <c r="V4" s="30" t="s">
        <v>5</v>
      </c>
      <c r="W4" s="270"/>
      <c r="X4" s="368" t="s">
        <v>214</v>
      </c>
      <c r="Y4" s="369"/>
    </row>
    <row r="5" spans="1:25">
      <c r="A5" s="365" t="s">
        <v>7</v>
      </c>
      <c r="B5" s="366"/>
      <c r="C5" s="367"/>
      <c r="D5" s="377"/>
      <c r="E5" s="33">
        <f>Algandmed!H5</f>
        <v>33.6</v>
      </c>
      <c r="F5" s="29" t="s">
        <v>8</v>
      </c>
      <c r="G5" s="73"/>
      <c r="H5" s="377"/>
      <c r="I5" s="33">
        <f>Algandmed!H6</f>
        <v>38.880000000000003</v>
      </c>
      <c r="J5" s="29" t="s">
        <v>8</v>
      </c>
      <c r="K5" s="73"/>
      <c r="L5" s="377"/>
      <c r="M5" s="33">
        <f>Algandmed!H7</f>
        <v>42.12</v>
      </c>
      <c r="N5" s="29" t="s">
        <v>8</v>
      </c>
      <c r="P5" s="377"/>
      <c r="Q5" s="33">
        <f>Algandmed!H8</f>
        <v>42.12</v>
      </c>
      <c r="R5" s="29" t="s">
        <v>8</v>
      </c>
      <c r="T5" s="377"/>
      <c r="U5" s="33">
        <f>Algandmed!H9</f>
        <v>40.68</v>
      </c>
      <c r="V5" s="29" t="s">
        <v>8</v>
      </c>
      <c r="W5" s="271"/>
      <c r="X5" s="370"/>
      <c r="Y5" s="371"/>
    </row>
    <row r="6" spans="1:25" ht="72">
      <c r="A6" s="27" t="s">
        <v>9</v>
      </c>
      <c r="B6" s="34" t="s">
        <v>10</v>
      </c>
      <c r="C6" s="34" t="s">
        <v>11</v>
      </c>
      <c r="D6" s="30" t="s">
        <v>12</v>
      </c>
      <c r="E6" s="30" t="s">
        <v>13</v>
      </c>
      <c r="F6" s="30" t="s">
        <v>14</v>
      </c>
      <c r="G6" s="11"/>
      <c r="H6" s="30" t="s">
        <v>12</v>
      </c>
      <c r="I6" s="30" t="s">
        <v>13</v>
      </c>
      <c r="J6" s="30" t="s">
        <v>14</v>
      </c>
      <c r="K6" s="11"/>
      <c r="L6" s="30" t="s">
        <v>12</v>
      </c>
      <c r="M6" s="30" t="s">
        <v>13</v>
      </c>
      <c r="N6" s="30" t="s">
        <v>14</v>
      </c>
      <c r="P6" s="30" t="s">
        <v>12</v>
      </c>
      <c r="Q6" s="30" t="s">
        <v>13</v>
      </c>
      <c r="R6" s="30" t="s">
        <v>14</v>
      </c>
      <c r="T6" s="30" t="s">
        <v>12</v>
      </c>
      <c r="U6" s="30" t="s">
        <v>13</v>
      </c>
      <c r="V6" s="30" t="s">
        <v>14</v>
      </c>
      <c r="W6" s="30"/>
      <c r="X6" s="30" t="s">
        <v>13</v>
      </c>
      <c r="Y6" s="30" t="s">
        <v>14</v>
      </c>
    </row>
    <row r="7" spans="1:25">
      <c r="A7" s="35" t="s">
        <v>15</v>
      </c>
      <c r="B7" s="36" t="s">
        <v>16</v>
      </c>
      <c r="C7" s="30" t="s">
        <v>17</v>
      </c>
      <c r="D7" s="37">
        <v>42.8</v>
      </c>
      <c r="E7" s="48">
        <f>$E$3*D7/1000</f>
        <v>0.37107599999999996</v>
      </c>
      <c r="F7" s="39">
        <f>D7*$E$2/1000000</f>
        <v>3.1637759999999999</v>
      </c>
      <c r="H7" s="37">
        <v>111</v>
      </c>
      <c r="I7" s="48">
        <f>$I$3*H7/1000</f>
        <v>0.96237000000000006</v>
      </c>
      <c r="J7" s="39">
        <f>H7*$I$2/1000000</f>
        <v>8.1997920000000004</v>
      </c>
      <c r="K7" s="74"/>
      <c r="L7" s="51">
        <v>111</v>
      </c>
      <c r="M7" s="48">
        <f>$M$3*L7/1000</f>
        <v>0.96237000000000006</v>
      </c>
      <c r="N7" s="39">
        <f>L7*$M$2/1000000</f>
        <v>8.2051865999999993</v>
      </c>
      <c r="P7" s="51">
        <v>111</v>
      </c>
      <c r="Q7" s="48">
        <f>$Q$3*P7/1000</f>
        <v>0.96237000000000006</v>
      </c>
      <c r="R7" s="39">
        <f>P7*$Q$2/1000000</f>
        <v>8.2051865999999993</v>
      </c>
      <c r="T7" s="51">
        <v>111</v>
      </c>
      <c r="U7" s="48">
        <f>$U$3*T7/1000</f>
        <v>0.96237000000000006</v>
      </c>
      <c r="V7" s="39">
        <f>T7*$U$2/1000000</f>
        <v>8.1955961999999989</v>
      </c>
      <c r="W7" s="39"/>
      <c r="X7" s="115">
        <f>MAX(E7,I7,M7,Q7,U7)</f>
        <v>0.96237000000000006</v>
      </c>
      <c r="Y7" s="115">
        <f>MAX(F7,J7,N7,R7,V7)</f>
        <v>8.2051865999999993</v>
      </c>
    </row>
    <row r="8" spans="1:25">
      <c r="A8" s="35" t="s">
        <v>18</v>
      </c>
      <c r="B8" s="36" t="s">
        <v>19</v>
      </c>
      <c r="C8" s="30" t="s">
        <v>17</v>
      </c>
      <c r="D8" s="37">
        <v>30</v>
      </c>
      <c r="E8" s="48">
        <f t="shared" ref="E8:E29" si="0">$E$3*D8/1000</f>
        <v>0.2601</v>
      </c>
      <c r="F8" s="39">
        <f t="shared" ref="F8:F29" si="1">D8*$E$2/1000000</f>
        <v>2.2176</v>
      </c>
      <c r="G8" s="74"/>
      <c r="H8" s="37">
        <v>42</v>
      </c>
      <c r="I8" s="48">
        <f t="shared" ref="I8:I29" si="2">$I$3*H8/1000</f>
        <v>0.36413999999999996</v>
      </c>
      <c r="J8" s="39">
        <f t="shared" ref="J8:J29" si="3">H8*$I$2/1000000</f>
        <v>3.102624</v>
      </c>
      <c r="K8" s="74"/>
      <c r="L8" s="51">
        <v>42</v>
      </c>
      <c r="M8" s="48">
        <f t="shared" ref="M8:M29" si="4">$M$3*L8/1000</f>
        <v>0.36413999999999996</v>
      </c>
      <c r="N8" s="39">
        <f t="shared" ref="N8:N29" si="5">L8*$M$2/1000000</f>
        <v>3.1046651999999999</v>
      </c>
      <c r="P8" s="51">
        <v>42</v>
      </c>
      <c r="Q8" s="48">
        <f t="shared" ref="Q8:Q29" si="6">$Q$3*P8/1000</f>
        <v>0.36413999999999996</v>
      </c>
      <c r="R8" s="39">
        <f t="shared" ref="R8:R29" si="7">P8*$Q$2/1000000</f>
        <v>3.1046651999999999</v>
      </c>
      <c r="T8" s="51">
        <v>42</v>
      </c>
      <c r="U8" s="48">
        <f t="shared" ref="U8:U29" si="8">$U$3*T8/1000</f>
        <v>0.36413999999999996</v>
      </c>
      <c r="V8" s="39">
        <f t="shared" ref="V8:V29" si="9">T8*$U$2/1000000</f>
        <v>3.1010363999999999</v>
      </c>
      <c r="W8" s="39"/>
      <c r="X8" s="115">
        <f t="shared" ref="X8:X29" si="10">MAX(E8,I8,M8,Q8,U8)</f>
        <v>0.36413999999999996</v>
      </c>
      <c r="Y8" s="115">
        <f t="shared" ref="Y8:Y30" si="11">MAX(F8,J8,N8,R8,V8)</f>
        <v>3.1046651999999999</v>
      </c>
    </row>
    <row r="9" spans="1:25">
      <c r="A9" s="40" t="s">
        <v>20</v>
      </c>
      <c r="B9" s="36" t="s">
        <v>21</v>
      </c>
      <c r="C9" s="30" t="s">
        <v>17</v>
      </c>
      <c r="D9" s="37">
        <v>2</v>
      </c>
      <c r="E9" s="48">
        <f t="shared" si="0"/>
        <v>1.7340000000000001E-2</v>
      </c>
      <c r="F9" s="39">
        <f t="shared" si="1"/>
        <v>0.14784</v>
      </c>
      <c r="G9" s="74"/>
      <c r="H9" s="37">
        <v>5</v>
      </c>
      <c r="I9" s="48">
        <f t="shared" si="2"/>
        <v>4.335E-2</v>
      </c>
      <c r="J9" s="39">
        <f t="shared" si="3"/>
        <v>0.36936000000000002</v>
      </c>
      <c r="K9" s="74"/>
      <c r="L9" s="51">
        <v>5</v>
      </c>
      <c r="M9" s="48">
        <f t="shared" si="4"/>
        <v>4.335E-2</v>
      </c>
      <c r="N9" s="39">
        <f t="shared" si="5"/>
        <v>0.36960299999999996</v>
      </c>
      <c r="P9" s="51">
        <v>5</v>
      </c>
      <c r="Q9" s="48">
        <f t="shared" si="6"/>
        <v>4.335E-2</v>
      </c>
      <c r="R9" s="39">
        <f t="shared" si="7"/>
        <v>0.36960299999999996</v>
      </c>
      <c r="T9" s="51">
        <v>5</v>
      </c>
      <c r="U9" s="48">
        <f t="shared" si="8"/>
        <v>4.335E-2</v>
      </c>
      <c r="V9" s="39">
        <f t="shared" si="9"/>
        <v>0.36917100000000003</v>
      </c>
      <c r="W9" s="39"/>
      <c r="X9" s="115">
        <f t="shared" si="10"/>
        <v>4.335E-2</v>
      </c>
      <c r="Y9" s="115">
        <f t="shared" si="11"/>
        <v>0.36960299999999996</v>
      </c>
    </row>
    <row r="10" spans="1:25" s="7" customFormat="1">
      <c r="A10" s="41" t="s">
        <v>22</v>
      </c>
      <c r="B10" s="256" t="s">
        <v>23</v>
      </c>
      <c r="C10" s="30" t="s">
        <v>17</v>
      </c>
      <c r="D10" s="37">
        <v>0.51</v>
      </c>
      <c r="E10" s="48">
        <f t="shared" si="0"/>
        <v>4.4217000000000006E-3</v>
      </c>
      <c r="F10" s="39">
        <f t="shared" si="1"/>
        <v>3.7699199999999995E-2</v>
      </c>
      <c r="G10" s="74"/>
      <c r="H10" s="37"/>
      <c r="I10" s="48">
        <f>I38</f>
        <v>3.5679012345679011</v>
      </c>
      <c r="J10" s="39">
        <f>I37</f>
        <v>30.400000000000002</v>
      </c>
      <c r="K10" s="74"/>
      <c r="L10" s="51"/>
      <c r="M10" s="48">
        <f>M38</f>
        <v>0.4116809116809117</v>
      </c>
      <c r="N10" s="39">
        <f>M37</f>
        <v>3.5100000000000002</v>
      </c>
      <c r="O10" s="9"/>
      <c r="P10" s="51"/>
      <c r="Q10" s="48">
        <f>Q38</f>
        <v>4.116809116809117E-3</v>
      </c>
      <c r="R10" s="39">
        <f>Q37</f>
        <v>3.5099999999999999E-2</v>
      </c>
      <c r="S10" s="9"/>
      <c r="T10" s="51"/>
      <c r="U10" s="48">
        <f>U38</f>
        <v>0.42625368731563423</v>
      </c>
      <c r="V10" s="39">
        <f>U37</f>
        <v>3.6300000000000008</v>
      </c>
      <c r="W10" s="39"/>
      <c r="X10" s="115">
        <f t="shared" si="10"/>
        <v>3.5679012345679011</v>
      </c>
      <c r="Y10" s="115">
        <f t="shared" si="11"/>
        <v>30.400000000000002</v>
      </c>
    </row>
    <row r="11" spans="1:25">
      <c r="A11" s="42" t="s">
        <v>24</v>
      </c>
      <c r="B11" s="36" t="s">
        <v>25</v>
      </c>
      <c r="C11" s="30" t="s">
        <v>17</v>
      </c>
      <c r="D11" s="37">
        <v>0.45</v>
      </c>
      <c r="E11" s="48">
        <f t="shared" si="0"/>
        <v>3.9015E-3</v>
      </c>
      <c r="F11" s="39">
        <f t="shared" si="1"/>
        <v>3.3264000000000002E-2</v>
      </c>
      <c r="G11" s="74"/>
      <c r="H11" s="37">
        <v>40</v>
      </c>
      <c r="I11" s="48">
        <f t="shared" si="2"/>
        <v>0.3468</v>
      </c>
      <c r="J11" s="39">
        <f t="shared" si="3"/>
        <v>2.9548800000000002</v>
      </c>
      <c r="K11" s="74"/>
      <c r="L11" s="51">
        <v>40</v>
      </c>
      <c r="M11" s="48">
        <f t="shared" si="4"/>
        <v>0.3468</v>
      </c>
      <c r="N11" s="39">
        <f t="shared" si="5"/>
        <v>2.9568239999999997</v>
      </c>
      <c r="P11" s="51">
        <v>40</v>
      </c>
      <c r="Q11" s="48">
        <f t="shared" si="6"/>
        <v>0.3468</v>
      </c>
      <c r="R11" s="39">
        <f t="shared" si="7"/>
        <v>2.9568239999999997</v>
      </c>
      <c r="T11" s="51">
        <v>40</v>
      </c>
      <c r="U11" s="48">
        <f t="shared" si="8"/>
        <v>0.3468</v>
      </c>
      <c r="V11" s="39">
        <f t="shared" si="9"/>
        <v>2.9533680000000002</v>
      </c>
      <c r="W11" s="39"/>
      <c r="X11" s="115">
        <f t="shared" si="10"/>
        <v>0.3468</v>
      </c>
      <c r="Y11" s="115">
        <f t="shared" si="11"/>
        <v>2.9568239999999997</v>
      </c>
    </row>
    <row r="12" spans="1:25">
      <c r="A12" s="43" t="s">
        <v>26</v>
      </c>
      <c r="B12" s="36" t="s">
        <v>27</v>
      </c>
      <c r="C12" s="30" t="s">
        <v>17</v>
      </c>
      <c r="D12" s="37">
        <v>0.45</v>
      </c>
      <c r="E12" s="48">
        <f t="shared" si="0"/>
        <v>3.9015E-3</v>
      </c>
      <c r="F12" s="39">
        <f t="shared" si="1"/>
        <v>3.3264000000000002E-2</v>
      </c>
      <c r="G12" s="74"/>
      <c r="H12" s="37">
        <v>6</v>
      </c>
      <c r="I12" s="48">
        <f t="shared" si="2"/>
        <v>5.2019999999999997E-2</v>
      </c>
      <c r="J12" s="39">
        <f t="shared" si="3"/>
        <v>0.44323200000000001</v>
      </c>
      <c r="K12" s="74"/>
      <c r="L12" s="51">
        <v>6</v>
      </c>
      <c r="M12" s="48">
        <f t="shared" si="4"/>
        <v>5.2019999999999997E-2</v>
      </c>
      <c r="N12" s="39">
        <f t="shared" si="5"/>
        <v>0.44352359999999996</v>
      </c>
      <c r="P12" s="51">
        <v>6</v>
      </c>
      <c r="Q12" s="48">
        <f t="shared" si="6"/>
        <v>5.2019999999999997E-2</v>
      </c>
      <c r="R12" s="39">
        <f t="shared" si="7"/>
        <v>0.44352359999999996</v>
      </c>
      <c r="T12" s="51">
        <v>6</v>
      </c>
      <c r="U12" s="48">
        <f t="shared" si="8"/>
        <v>5.2019999999999997E-2</v>
      </c>
      <c r="V12" s="39">
        <f t="shared" si="9"/>
        <v>0.44300519999999993</v>
      </c>
      <c r="W12" s="39"/>
      <c r="X12" s="115">
        <f t="shared" si="10"/>
        <v>5.2019999999999997E-2</v>
      </c>
      <c r="Y12" s="115">
        <f t="shared" si="11"/>
        <v>0.44352359999999996</v>
      </c>
    </row>
    <row r="13" spans="1:25" ht="18" customHeight="1">
      <c r="A13" s="43" t="s">
        <v>28</v>
      </c>
      <c r="B13" s="36" t="s">
        <v>29</v>
      </c>
      <c r="C13" s="30" t="s">
        <v>17</v>
      </c>
      <c r="D13" s="37">
        <v>0.45</v>
      </c>
      <c r="E13" s="48">
        <f t="shared" si="0"/>
        <v>3.9015E-3</v>
      </c>
      <c r="F13" s="39">
        <f t="shared" si="1"/>
        <v>3.3264000000000002E-2</v>
      </c>
      <c r="G13" s="74"/>
      <c r="H13" s="37">
        <v>6</v>
      </c>
      <c r="I13" s="48">
        <f t="shared" si="2"/>
        <v>5.2019999999999997E-2</v>
      </c>
      <c r="J13" s="39">
        <f t="shared" si="3"/>
        <v>0.44323200000000001</v>
      </c>
      <c r="K13" s="74"/>
      <c r="L13" s="51">
        <v>6</v>
      </c>
      <c r="M13" s="48">
        <f t="shared" si="4"/>
        <v>5.2019999999999997E-2</v>
      </c>
      <c r="N13" s="39">
        <f t="shared" si="5"/>
        <v>0.44352359999999996</v>
      </c>
      <c r="P13" s="51">
        <v>6</v>
      </c>
      <c r="Q13" s="48">
        <f t="shared" si="6"/>
        <v>5.2019999999999997E-2</v>
      </c>
      <c r="R13" s="39">
        <f t="shared" si="7"/>
        <v>0.44352359999999996</v>
      </c>
      <c r="T13" s="51">
        <v>6</v>
      </c>
      <c r="U13" s="48">
        <f t="shared" si="8"/>
        <v>5.2019999999999997E-2</v>
      </c>
      <c r="V13" s="39">
        <f t="shared" si="9"/>
        <v>0.44300519999999993</v>
      </c>
      <c r="W13" s="39"/>
      <c r="X13" s="115">
        <f t="shared" si="10"/>
        <v>5.2019999999999997E-2</v>
      </c>
      <c r="Y13" s="115">
        <f t="shared" si="11"/>
        <v>0.44352359999999996</v>
      </c>
    </row>
    <row r="14" spans="1:25">
      <c r="A14" s="43" t="s">
        <v>30</v>
      </c>
      <c r="B14" s="36" t="s">
        <v>31</v>
      </c>
      <c r="C14" s="30" t="s">
        <v>32</v>
      </c>
      <c r="D14" s="44">
        <v>5.3999999999999999E-2</v>
      </c>
      <c r="E14" s="48">
        <f t="shared" si="0"/>
        <v>4.6818000000000001E-4</v>
      </c>
      <c r="F14" s="39">
        <f t="shared" si="1"/>
        <v>3.9916800000000001E-3</v>
      </c>
      <c r="G14" s="74"/>
      <c r="H14" s="44"/>
      <c r="I14" s="48">
        <f t="shared" si="2"/>
        <v>0</v>
      </c>
      <c r="J14" s="39">
        <f t="shared" si="3"/>
        <v>0</v>
      </c>
      <c r="K14" s="74"/>
      <c r="L14" s="101"/>
      <c r="M14" s="48">
        <f t="shared" si="4"/>
        <v>0</v>
      </c>
      <c r="N14" s="39">
        <f t="shared" si="5"/>
        <v>0</v>
      </c>
      <c r="P14" s="101"/>
      <c r="Q14" s="48">
        <f t="shared" si="6"/>
        <v>0</v>
      </c>
      <c r="R14" s="39">
        <f t="shared" si="7"/>
        <v>0</v>
      </c>
      <c r="T14" s="101"/>
      <c r="U14" s="48">
        <f t="shared" si="8"/>
        <v>0</v>
      </c>
      <c r="V14" s="39">
        <f t="shared" si="9"/>
        <v>0</v>
      </c>
      <c r="W14" s="39"/>
      <c r="X14" s="115">
        <f t="shared" si="10"/>
        <v>4.6818000000000001E-4</v>
      </c>
      <c r="Y14" s="115">
        <f t="shared" si="11"/>
        <v>3.9916800000000001E-3</v>
      </c>
    </row>
    <row r="15" spans="1:25">
      <c r="A15" s="45" t="s">
        <v>33</v>
      </c>
      <c r="B15" s="46" t="s">
        <v>34</v>
      </c>
      <c r="C15" s="45" t="s">
        <v>35</v>
      </c>
      <c r="D15" s="47">
        <v>1.5E-3</v>
      </c>
      <c r="E15" s="48">
        <f t="shared" si="0"/>
        <v>1.3005000000000002E-5</v>
      </c>
      <c r="F15" s="39">
        <f t="shared" si="1"/>
        <v>1.1088E-4</v>
      </c>
      <c r="G15" s="76"/>
      <c r="H15" s="47">
        <v>10</v>
      </c>
      <c r="I15" s="48">
        <f t="shared" si="2"/>
        <v>8.6699999999999999E-2</v>
      </c>
      <c r="J15" s="39">
        <f t="shared" si="3"/>
        <v>0.73872000000000004</v>
      </c>
      <c r="K15" s="76"/>
      <c r="L15" s="47">
        <v>10</v>
      </c>
      <c r="M15" s="48">
        <f t="shared" si="4"/>
        <v>8.6699999999999999E-2</v>
      </c>
      <c r="N15" s="39">
        <f t="shared" si="5"/>
        <v>0.73920599999999992</v>
      </c>
      <c r="P15" s="47">
        <v>10</v>
      </c>
      <c r="Q15" s="48">
        <f t="shared" si="6"/>
        <v>8.6699999999999999E-2</v>
      </c>
      <c r="R15" s="39">
        <f t="shared" si="7"/>
        <v>0.73920599999999992</v>
      </c>
      <c r="T15" s="47">
        <v>10</v>
      </c>
      <c r="U15" s="48">
        <f t="shared" si="8"/>
        <v>8.6699999999999999E-2</v>
      </c>
      <c r="V15" s="39">
        <f t="shared" si="9"/>
        <v>0.73834200000000005</v>
      </c>
      <c r="W15" s="39"/>
      <c r="X15" s="115">
        <f t="shared" si="10"/>
        <v>8.6699999999999999E-2</v>
      </c>
      <c r="Y15" s="115">
        <f t="shared" si="11"/>
        <v>0.73920599999999992</v>
      </c>
    </row>
    <row r="16" spans="1:25">
      <c r="A16" s="45" t="s">
        <v>36</v>
      </c>
      <c r="B16" s="49" t="s">
        <v>37</v>
      </c>
      <c r="C16" s="50" t="s">
        <v>35</v>
      </c>
      <c r="D16" s="51">
        <v>2.5000000000000001E-4</v>
      </c>
      <c r="E16" s="48">
        <f t="shared" si="0"/>
        <v>2.1675E-6</v>
      </c>
      <c r="F16" s="39">
        <f t="shared" si="1"/>
        <v>1.8479999999999999E-5</v>
      </c>
      <c r="G16" s="76"/>
      <c r="H16" s="51">
        <v>0.3</v>
      </c>
      <c r="I16" s="48">
        <f t="shared" si="2"/>
        <v>2.601E-3</v>
      </c>
      <c r="J16" s="39">
        <f t="shared" si="3"/>
        <v>2.21616E-2</v>
      </c>
      <c r="K16" s="76"/>
      <c r="L16" s="51">
        <v>0.3</v>
      </c>
      <c r="M16" s="48">
        <f t="shared" si="4"/>
        <v>2.601E-3</v>
      </c>
      <c r="N16" s="39">
        <f t="shared" si="5"/>
        <v>2.2176179999999997E-2</v>
      </c>
      <c r="P16" s="51">
        <v>0.3</v>
      </c>
      <c r="Q16" s="48">
        <f t="shared" si="6"/>
        <v>2.601E-3</v>
      </c>
      <c r="R16" s="39">
        <f t="shared" si="7"/>
        <v>2.2176179999999997E-2</v>
      </c>
      <c r="T16" s="51">
        <v>0.3</v>
      </c>
      <c r="U16" s="48">
        <f t="shared" si="8"/>
        <v>2.601E-3</v>
      </c>
      <c r="V16" s="39">
        <f t="shared" si="9"/>
        <v>2.2150259999999998E-2</v>
      </c>
      <c r="W16" s="39"/>
      <c r="X16" s="115">
        <f t="shared" si="10"/>
        <v>2.601E-3</v>
      </c>
      <c r="Y16" s="115">
        <f t="shared" si="11"/>
        <v>2.2176179999999997E-2</v>
      </c>
    </row>
    <row r="17" spans="1:25">
      <c r="A17" s="45" t="s">
        <v>38</v>
      </c>
      <c r="B17" s="49" t="s">
        <v>39</v>
      </c>
      <c r="C17" s="50" t="s">
        <v>35</v>
      </c>
      <c r="D17" s="51">
        <v>0.1</v>
      </c>
      <c r="E17" s="48">
        <f t="shared" si="0"/>
        <v>8.6700000000000004E-4</v>
      </c>
      <c r="F17" s="39">
        <f t="shared" si="1"/>
        <v>7.3920000000000001E-3</v>
      </c>
      <c r="G17" s="76"/>
      <c r="H17" s="51">
        <v>0.1</v>
      </c>
      <c r="I17" s="48">
        <f t="shared" si="2"/>
        <v>8.6700000000000004E-4</v>
      </c>
      <c r="J17" s="39">
        <f t="shared" si="3"/>
        <v>7.3872000000000009E-3</v>
      </c>
      <c r="K17" s="76"/>
      <c r="L17" s="51">
        <v>0.1</v>
      </c>
      <c r="M17" s="48">
        <f t="shared" si="4"/>
        <v>8.6700000000000004E-4</v>
      </c>
      <c r="N17" s="39">
        <f t="shared" si="5"/>
        <v>7.3920599999999998E-3</v>
      </c>
      <c r="P17" s="51">
        <v>0.1</v>
      </c>
      <c r="Q17" s="48">
        <f t="shared" si="6"/>
        <v>8.6700000000000004E-4</v>
      </c>
      <c r="R17" s="39">
        <f t="shared" si="7"/>
        <v>7.3920599999999998E-3</v>
      </c>
      <c r="T17" s="51">
        <v>0.1</v>
      </c>
      <c r="U17" s="48">
        <f t="shared" si="8"/>
        <v>8.6700000000000004E-4</v>
      </c>
      <c r="V17" s="39">
        <f t="shared" si="9"/>
        <v>7.3834199999999999E-3</v>
      </c>
      <c r="W17" s="39"/>
      <c r="X17" s="115">
        <f t="shared" si="10"/>
        <v>8.6700000000000004E-4</v>
      </c>
      <c r="Y17" s="115">
        <f t="shared" si="11"/>
        <v>7.3920599999999998E-3</v>
      </c>
    </row>
    <row r="18" spans="1:25">
      <c r="A18" s="45" t="s">
        <v>40</v>
      </c>
      <c r="B18" s="49" t="s">
        <v>41</v>
      </c>
      <c r="C18" s="50" t="s">
        <v>35</v>
      </c>
      <c r="D18" s="51">
        <v>0.12</v>
      </c>
      <c r="E18" s="48">
        <f t="shared" si="0"/>
        <v>1.0403999999999999E-3</v>
      </c>
      <c r="F18" s="39">
        <f t="shared" si="1"/>
        <v>8.8703999999999988E-3</v>
      </c>
      <c r="G18" s="76"/>
      <c r="H18" s="51">
        <v>44.5</v>
      </c>
      <c r="I18" s="48">
        <f t="shared" si="2"/>
        <v>0.38581500000000002</v>
      </c>
      <c r="J18" s="39">
        <f t="shared" si="3"/>
        <v>3.2873039999999998</v>
      </c>
      <c r="K18" s="76"/>
      <c r="L18" s="51">
        <v>44.5</v>
      </c>
      <c r="M18" s="48">
        <f t="shared" si="4"/>
        <v>0.38581500000000002</v>
      </c>
      <c r="N18" s="39">
        <f t="shared" si="5"/>
        <v>3.2894666999999997</v>
      </c>
      <c r="P18" s="51">
        <v>44.5</v>
      </c>
      <c r="Q18" s="48">
        <f t="shared" si="6"/>
        <v>0.38581500000000002</v>
      </c>
      <c r="R18" s="39">
        <f t="shared" si="7"/>
        <v>3.2894666999999997</v>
      </c>
      <c r="T18" s="51">
        <v>44.5</v>
      </c>
      <c r="U18" s="48">
        <f t="shared" si="8"/>
        <v>0.38581500000000002</v>
      </c>
      <c r="V18" s="39">
        <f t="shared" si="9"/>
        <v>3.2856218999999998</v>
      </c>
      <c r="W18" s="39"/>
      <c r="X18" s="115">
        <f t="shared" si="10"/>
        <v>0.38581500000000002</v>
      </c>
      <c r="Y18" s="115">
        <f t="shared" si="11"/>
        <v>3.2894666999999997</v>
      </c>
    </row>
    <row r="19" spans="1:25">
      <c r="A19" s="45" t="s">
        <v>42</v>
      </c>
      <c r="B19" s="49" t="s">
        <v>43</v>
      </c>
      <c r="C19" s="50" t="s">
        <v>35</v>
      </c>
      <c r="D19" s="51">
        <v>7.6000000000000004E-4</v>
      </c>
      <c r="E19" s="48">
        <f t="shared" si="0"/>
        <v>6.5891999999999995E-6</v>
      </c>
      <c r="F19" s="39">
        <f t="shared" si="1"/>
        <v>5.6179199999999999E-5</v>
      </c>
      <c r="G19" s="76"/>
      <c r="H19" s="51">
        <v>20</v>
      </c>
      <c r="I19" s="48">
        <f t="shared" si="2"/>
        <v>0.1734</v>
      </c>
      <c r="J19" s="39">
        <f t="shared" si="3"/>
        <v>1.4774400000000001</v>
      </c>
      <c r="K19" s="76"/>
      <c r="L19" s="51">
        <v>20</v>
      </c>
      <c r="M19" s="48">
        <f t="shared" si="4"/>
        <v>0.1734</v>
      </c>
      <c r="N19" s="39">
        <f t="shared" si="5"/>
        <v>1.4784119999999998</v>
      </c>
      <c r="P19" s="51">
        <v>20</v>
      </c>
      <c r="Q19" s="48">
        <f t="shared" si="6"/>
        <v>0.1734</v>
      </c>
      <c r="R19" s="39">
        <f t="shared" si="7"/>
        <v>1.4784119999999998</v>
      </c>
      <c r="T19" s="51">
        <v>20</v>
      </c>
      <c r="U19" s="48">
        <f t="shared" si="8"/>
        <v>0.1734</v>
      </c>
      <c r="V19" s="39">
        <f t="shared" si="9"/>
        <v>1.4766840000000001</v>
      </c>
      <c r="W19" s="39"/>
      <c r="X19" s="115">
        <f t="shared" si="10"/>
        <v>0.1734</v>
      </c>
      <c r="Y19" s="115">
        <f t="shared" si="11"/>
        <v>1.4784119999999998</v>
      </c>
    </row>
    <row r="20" spans="1:25">
      <c r="A20" s="45" t="s">
        <v>44</v>
      </c>
      <c r="B20" s="49" t="s">
        <v>45</v>
      </c>
      <c r="C20" s="50" t="s">
        <v>35</v>
      </c>
      <c r="D20" s="51">
        <v>7.6000000000000004E-4</v>
      </c>
      <c r="E20" s="48">
        <f t="shared" si="0"/>
        <v>6.5891999999999995E-6</v>
      </c>
      <c r="F20" s="39">
        <f t="shared" si="1"/>
        <v>5.6179199999999999E-5</v>
      </c>
      <c r="G20" s="76"/>
      <c r="H20" s="51">
        <v>6</v>
      </c>
      <c r="I20" s="48">
        <f t="shared" si="2"/>
        <v>5.2019999999999997E-2</v>
      </c>
      <c r="J20" s="39">
        <f t="shared" si="3"/>
        <v>0.44323200000000001</v>
      </c>
      <c r="K20" s="76"/>
      <c r="L20" s="51">
        <v>6</v>
      </c>
      <c r="M20" s="48">
        <f t="shared" si="4"/>
        <v>5.2019999999999997E-2</v>
      </c>
      <c r="N20" s="39">
        <f t="shared" si="5"/>
        <v>0.44352359999999996</v>
      </c>
      <c r="P20" s="51">
        <v>6</v>
      </c>
      <c r="Q20" s="48">
        <f t="shared" si="6"/>
        <v>5.2019999999999997E-2</v>
      </c>
      <c r="R20" s="39">
        <f t="shared" si="7"/>
        <v>0.44352359999999996</v>
      </c>
      <c r="T20" s="51">
        <v>6</v>
      </c>
      <c r="U20" s="48">
        <f t="shared" si="8"/>
        <v>5.2019999999999997E-2</v>
      </c>
      <c r="V20" s="39">
        <f t="shared" si="9"/>
        <v>0.44300519999999993</v>
      </c>
      <c r="W20" s="39"/>
      <c r="X20" s="115">
        <f t="shared" si="10"/>
        <v>5.2019999999999997E-2</v>
      </c>
      <c r="Y20" s="115">
        <f t="shared" si="11"/>
        <v>0.44352359999999996</v>
      </c>
    </row>
    <row r="21" spans="1:25">
      <c r="A21" s="45" t="s">
        <v>46</v>
      </c>
      <c r="B21" s="46" t="s">
        <v>47</v>
      </c>
      <c r="C21" s="45" t="s">
        <v>35</v>
      </c>
      <c r="D21" s="47">
        <v>5.1000000000000004E-4</v>
      </c>
      <c r="E21" s="48">
        <f t="shared" si="0"/>
        <v>4.4217000000000004E-6</v>
      </c>
      <c r="F21" s="39">
        <f t="shared" si="1"/>
        <v>3.7699200000000007E-5</v>
      </c>
      <c r="G21" s="76"/>
      <c r="H21" s="47">
        <v>200</v>
      </c>
      <c r="I21" s="48">
        <f t="shared" si="2"/>
        <v>1.734</v>
      </c>
      <c r="J21" s="39">
        <f t="shared" si="3"/>
        <v>14.7744</v>
      </c>
      <c r="K21" s="76"/>
      <c r="L21" s="47">
        <v>200</v>
      </c>
      <c r="M21" s="48">
        <f t="shared" si="4"/>
        <v>1.734</v>
      </c>
      <c r="N21" s="39">
        <f t="shared" si="5"/>
        <v>14.784119999999998</v>
      </c>
      <c r="P21" s="47">
        <v>200</v>
      </c>
      <c r="Q21" s="48">
        <f t="shared" si="6"/>
        <v>1.734</v>
      </c>
      <c r="R21" s="39">
        <f t="shared" si="7"/>
        <v>14.784119999999998</v>
      </c>
      <c r="T21" s="47">
        <v>200</v>
      </c>
      <c r="U21" s="48">
        <f t="shared" si="8"/>
        <v>1.734</v>
      </c>
      <c r="V21" s="39">
        <f t="shared" si="9"/>
        <v>14.76684</v>
      </c>
      <c r="W21" s="39"/>
      <c r="X21" s="115">
        <f t="shared" si="10"/>
        <v>1.734</v>
      </c>
      <c r="Y21" s="115">
        <f t="shared" si="11"/>
        <v>14.784119999999998</v>
      </c>
    </row>
    <row r="22" spans="1:25">
      <c r="A22" s="45" t="s">
        <v>48</v>
      </c>
      <c r="B22" s="46" t="s">
        <v>49</v>
      </c>
      <c r="C22" s="45" t="s">
        <v>35</v>
      </c>
      <c r="D22" s="47">
        <v>5.1000000000000004E-4</v>
      </c>
      <c r="E22" s="48">
        <f t="shared" si="0"/>
        <v>4.4217000000000004E-6</v>
      </c>
      <c r="F22" s="39">
        <f t="shared" si="1"/>
        <v>3.7699200000000007E-5</v>
      </c>
      <c r="G22" s="76"/>
      <c r="H22" s="47">
        <v>0</v>
      </c>
      <c r="I22" s="48">
        <f t="shared" si="2"/>
        <v>0</v>
      </c>
      <c r="J22" s="39">
        <f t="shared" si="3"/>
        <v>0</v>
      </c>
      <c r="K22" s="76"/>
      <c r="L22" s="47">
        <v>0</v>
      </c>
      <c r="M22" s="48">
        <f t="shared" si="4"/>
        <v>0</v>
      </c>
      <c r="N22" s="39">
        <f t="shared" si="5"/>
        <v>0</v>
      </c>
      <c r="P22" s="47">
        <v>0</v>
      </c>
      <c r="Q22" s="48">
        <f t="shared" si="6"/>
        <v>0</v>
      </c>
      <c r="R22" s="39">
        <f t="shared" si="7"/>
        <v>0</v>
      </c>
      <c r="T22" s="47">
        <v>0</v>
      </c>
      <c r="U22" s="48">
        <f t="shared" si="8"/>
        <v>0</v>
      </c>
      <c r="V22" s="39">
        <f t="shared" si="9"/>
        <v>0</v>
      </c>
      <c r="W22" s="39"/>
      <c r="X22" s="115">
        <f t="shared" si="10"/>
        <v>4.4217000000000004E-6</v>
      </c>
      <c r="Y22" s="115">
        <f t="shared" si="11"/>
        <v>3.7699200000000007E-5</v>
      </c>
    </row>
    <row r="23" spans="1:25">
      <c r="A23" s="45" t="s">
        <v>50</v>
      </c>
      <c r="B23" s="46" t="s">
        <v>51</v>
      </c>
      <c r="C23" s="50" t="s">
        <v>35</v>
      </c>
      <c r="D23" s="51">
        <v>1.4999999999999999E-2</v>
      </c>
      <c r="E23" s="48">
        <f t="shared" si="0"/>
        <v>1.3004999999999999E-4</v>
      </c>
      <c r="F23" s="39">
        <f t="shared" si="1"/>
        <v>1.1087999999999998E-3</v>
      </c>
      <c r="G23" s="76"/>
      <c r="H23" s="51">
        <v>5</v>
      </c>
      <c r="I23" s="48">
        <f t="shared" si="2"/>
        <v>4.335E-2</v>
      </c>
      <c r="J23" s="39">
        <f t="shared" si="3"/>
        <v>0.36936000000000002</v>
      </c>
      <c r="K23" s="76"/>
      <c r="L23" s="51">
        <v>5</v>
      </c>
      <c r="M23" s="48">
        <f t="shared" si="4"/>
        <v>4.335E-2</v>
      </c>
      <c r="N23" s="39">
        <f t="shared" si="5"/>
        <v>0.36960299999999996</v>
      </c>
      <c r="P23" s="51">
        <v>5</v>
      </c>
      <c r="Q23" s="48">
        <f t="shared" si="6"/>
        <v>4.335E-2</v>
      </c>
      <c r="R23" s="39">
        <f t="shared" si="7"/>
        <v>0.36960299999999996</v>
      </c>
      <c r="T23" s="51">
        <v>5</v>
      </c>
      <c r="U23" s="48">
        <f t="shared" si="8"/>
        <v>4.335E-2</v>
      </c>
      <c r="V23" s="39">
        <f t="shared" si="9"/>
        <v>0.36917100000000003</v>
      </c>
      <c r="W23" s="39"/>
      <c r="X23" s="115">
        <f t="shared" si="10"/>
        <v>4.335E-2</v>
      </c>
      <c r="Y23" s="115">
        <f t="shared" si="11"/>
        <v>0.36960299999999996</v>
      </c>
    </row>
    <row r="24" spans="1:25">
      <c r="A24" s="52" t="s">
        <v>52</v>
      </c>
      <c r="B24" s="53" t="s">
        <v>53</v>
      </c>
      <c r="C24" s="54" t="s">
        <v>17</v>
      </c>
      <c r="D24" s="51">
        <v>0</v>
      </c>
      <c r="E24" s="48">
        <f t="shared" si="0"/>
        <v>0</v>
      </c>
      <c r="F24" s="39">
        <f t="shared" si="1"/>
        <v>0</v>
      </c>
      <c r="G24" s="76"/>
      <c r="H24" s="51"/>
      <c r="I24" s="48">
        <f t="shared" si="2"/>
        <v>0</v>
      </c>
      <c r="J24" s="39">
        <f t="shared" si="3"/>
        <v>0</v>
      </c>
      <c r="K24" s="76"/>
      <c r="L24" s="51"/>
      <c r="M24" s="48">
        <f t="shared" si="4"/>
        <v>0</v>
      </c>
      <c r="N24" s="39">
        <f t="shared" si="5"/>
        <v>0</v>
      </c>
      <c r="P24" s="51"/>
      <c r="Q24" s="48">
        <f t="shared" si="6"/>
        <v>0</v>
      </c>
      <c r="R24" s="39">
        <f t="shared" si="7"/>
        <v>0</v>
      </c>
      <c r="T24" s="51"/>
      <c r="U24" s="48">
        <f t="shared" si="8"/>
        <v>0</v>
      </c>
      <c r="V24" s="39">
        <f t="shared" si="9"/>
        <v>0</v>
      </c>
      <c r="W24" s="39"/>
      <c r="X24" s="115">
        <f t="shared" si="10"/>
        <v>0</v>
      </c>
      <c r="Y24" s="115">
        <f t="shared" si="11"/>
        <v>0</v>
      </c>
    </row>
    <row r="25" spans="1:25" ht="43.2">
      <c r="A25" s="45"/>
      <c r="B25" s="49" t="s">
        <v>54</v>
      </c>
      <c r="C25" s="45" t="s">
        <v>55</v>
      </c>
      <c r="D25" s="51">
        <v>0.5</v>
      </c>
      <c r="E25" s="48">
        <f t="shared" si="0"/>
        <v>4.3350000000000003E-3</v>
      </c>
      <c r="F25" s="39">
        <f t="shared" si="1"/>
        <v>3.696E-2</v>
      </c>
      <c r="G25" s="76"/>
      <c r="H25" s="51">
        <v>10</v>
      </c>
      <c r="I25" s="48">
        <f t="shared" si="2"/>
        <v>8.6699999999999999E-2</v>
      </c>
      <c r="J25" s="39">
        <f t="shared" si="3"/>
        <v>0.73872000000000004</v>
      </c>
      <c r="K25" s="76"/>
      <c r="L25" s="51">
        <v>10</v>
      </c>
      <c r="M25" s="48">
        <f t="shared" si="4"/>
        <v>8.6699999999999999E-2</v>
      </c>
      <c r="N25" s="39">
        <f t="shared" si="5"/>
        <v>0.73920599999999992</v>
      </c>
      <c r="P25" s="51">
        <v>10</v>
      </c>
      <c r="Q25" s="48">
        <f t="shared" si="6"/>
        <v>8.6699999999999999E-2</v>
      </c>
      <c r="R25" s="39">
        <f t="shared" si="7"/>
        <v>0.73920599999999992</v>
      </c>
      <c r="T25" s="51">
        <v>10</v>
      </c>
      <c r="U25" s="48">
        <f t="shared" si="8"/>
        <v>8.6699999999999999E-2</v>
      </c>
      <c r="V25" s="39">
        <f t="shared" si="9"/>
        <v>0.73834200000000005</v>
      </c>
      <c r="W25" s="39"/>
      <c r="X25" s="115">
        <f t="shared" si="10"/>
        <v>8.6699999999999999E-2</v>
      </c>
      <c r="Y25" s="115">
        <f t="shared" si="11"/>
        <v>0.73920599999999992</v>
      </c>
    </row>
    <row r="26" spans="1:25">
      <c r="A26" s="55"/>
      <c r="B26" s="46" t="s">
        <v>56</v>
      </c>
      <c r="C26" s="56" t="s">
        <v>57</v>
      </c>
      <c r="D26" s="47">
        <v>0.56000000000000005</v>
      </c>
      <c r="E26" s="48">
        <f t="shared" si="0"/>
        <v>4.8552000000000005E-3</v>
      </c>
      <c r="F26" s="39">
        <f t="shared" si="1"/>
        <v>4.1395200000000007E-2</v>
      </c>
      <c r="G26" s="76"/>
      <c r="H26" s="47">
        <v>1</v>
      </c>
      <c r="I26" s="48">
        <f t="shared" si="2"/>
        <v>8.6700000000000006E-3</v>
      </c>
      <c r="J26" s="39">
        <f t="shared" si="3"/>
        <v>7.3871999999999993E-2</v>
      </c>
      <c r="K26" s="76"/>
      <c r="L26" s="47">
        <v>1</v>
      </c>
      <c r="M26" s="48">
        <f t="shared" si="4"/>
        <v>8.6700000000000006E-3</v>
      </c>
      <c r="N26" s="39">
        <f t="shared" si="5"/>
        <v>7.3920599999999989E-2</v>
      </c>
      <c r="P26" s="47">
        <v>1</v>
      </c>
      <c r="Q26" s="48">
        <f t="shared" si="6"/>
        <v>8.6700000000000006E-3</v>
      </c>
      <c r="R26" s="39">
        <f t="shared" si="7"/>
        <v>7.3920599999999989E-2</v>
      </c>
      <c r="T26" s="47">
        <v>1</v>
      </c>
      <c r="U26" s="48">
        <f t="shared" si="8"/>
        <v>8.6700000000000006E-3</v>
      </c>
      <c r="V26" s="39">
        <f t="shared" si="9"/>
        <v>7.3834200000000003E-2</v>
      </c>
      <c r="W26" s="39"/>
      <c r="X26" s="115">
        <f t="shared" si="10"/>
        <v>8.6700000000000006E-3</v>
      </c>
      <c r="Y26" s="115">
        <f t="shared" si="11"/>
        <v>7.3920599999999989E-2</v>
      </c>
    </row>
    <row r="27" spans="1:25">
      <c r="A27" s="55"/>
      <c r="B27" s="46" t="s">
        <v>58</v>
      </c>
      <c r="C27" s="56" t="s">
        <v>57</v>
      </c>
      <c r="D27" s="51">
        <v>0.84</v>
      </c>
      <c r="E27" s="48">
        <f t="shared" si="0"/>
        <v>7.2827999999999999E-3</v>
      </c>
      <c r="F27" s="39">
        <f t="shared" si="1"/>
        <v>6.2092799999999997E-2</v>
      </c>
      <c r="G27" s="76"/>
      <c r="H27" s="51">
        <v>1</v>
      </c>
      <c r="I27" s="48">
        <f t="shared" si="2"/>
        <v>8.6700000000000006E-3</v>
      </c>
      <c r="J27" s="39">
        <f t="shared" si="3"/>
        <v>7.3871999999999993E-2</v>
      </c>
      <c r="K27" s="76"/>
      <c r="L27" s="51">
        <v>1</v>
      </c>
      <c r="M27" s="48">
        <f t="shared" si="4"/>
        <v>8.6700000000000006E-3</v>
      </c>
      <c r="N27" s="39">
        <f t="shared" si="5"/>
        <v>7.3920599999999989E-2</v>
      </c>
      <c r="P27" s="51">
        <v>1</v>
      </c>
      <c r="Q27" s="48">
        <f t="shared" si="6"/>
        <v>8.6700000000000006E-3</v>
      </c>
      <c r="R27" s="39">
        <f t="shared" si="7"/>
        <v>7.3920599999999989E-2</v>
      </c>
      <c r="T27" s="51">
        <v>1</v>
      </c>
      <c r="U27" s="48">
        <f t="shared" si="8"/>
        <v>8.6700000000000006E-3</v>
      </c>
      <c r="V27" s="39">
        <f t="shared" si="9"/>
        <v>7.3834200000000003E-2</v>
      </c>
      <c r="W27" s="39"/>
      <c r="X27" s="115">
        <f t="shared" si="10"/>
        <v>8.6700000000000006E-3</v>
      </c>
      <c r="Y27" s="115">
        <f t="shared" si="11"/>
        <v>7.3920599999999989E-2</v>
      </c>
    </row>
    <row r="28" spans="1:25">
      <c r="A28" s="45"/>
      <c r="B28" s="46" t="s">
        <v>59</v>
      </c>
      <c r="C28" s="45" t="s">
        <v>57</v>
      </c>
      <c r="D28" s="51">
        <v>0.84</v>
      </c>
      <c r="E28" s="48">
        <f t="shared" si="0"/>
        <v>7.2827999999999999E-3</v>
      </c>
      <c r="F28" s="39">
        <f t="shared" si="1"/>
        <v>6.2092799999999997E-2</v>
      </c>
      <c r="G28" s="76"/>
      <c r="H28" s="51">
        <v>1</v>
      </c>
      <c r="I28" s="48">
        <f t="shared" si="2"/>
        <v>8.6700000000000006E-3</v>
      </c>
      <c r="J28" s="39">
        <f t="shared" si="3"/>
        <v>7.3871999999999993E-2</v>
      </c>
      <c r="K28" s="76"/>
      <c r="L28" s="51">
        <v>1</v>
      </c>
      <c r="M28" s="48">
        <f t="shared" si="4"/>
        <v>8.6700000000000006E-3</v>
      </c>
      <c r="N28" s="39">
        <f t="shared" si="5"/>
        <v>7.3920599999999989E-2</v>
      </c>
      <c r="P28" s="51">
        <v>1</v>
      </c>
      <c r="Q28" s="48">
        <f t="shared" si="6"/>
        <v>8.6700000000000006E-3</v>
      </c>
      <c r="R28" s="39">
        <f t="shared" si="7"/>
        <v>7.3920599999999989E-2</v>
      </c>
      <c r="T28" s="51">
        <v>1</v>
      </c>
      <c r="U28" s="48">
        <f t="shared" si="8"/>
        <v>8.6700000000000006E-3</v>
      </c>
      <c r="V28" s="39">
        <f t="shared" si="9"/>
        <v>7.3834200000000003E-2</v>
      </c>
      <c r="W28" s="39"/>
      <c r="X28" s="115">
        <f t="shared" si="10"/>
        <v>8.6700000000000006E-3</v>
      </c>
      <c r="Y28" s="115">
        <f t="shared" si="11"/>
        <v>7.3920599999999989E-2</v>
      </c>
    </row>
    <row r="29" spans="1:25">
      <c r="A29" s="45"/>
      <c r="B29" s="46" t="s">
        <v>60</v>
      </c>
      <c r="C29" s="45" t="s">
        <v>57</v>
      </c>
      <c r="D29" s="47">
        <v>0.84</v>
      </c>
      <c r="E29" s="48">
        <f t="shared" si="0"/>
        <v>7.2827999999999999E-3</v>
      </c>
      <c r="F29" s="39">
        <f t="shared" si="1"/>
        <v>6.2092799999999997E-2</v>
      </c>
      <c r="G29" s="76"/>
      <c r="H29" s="47">
        <v>1</v>
      </c>
      <c r="I29" s="48">
        <f t="shared" si="2"/>
        <v>8.6700000000000006E-3</v>
      </c>
      <c r="J29" s="39">
        <f t="shared" si="3"/>
        <v>7.3871999999999993E-2</v>
      </c>
      <c r="K29" s="76"/>
      <c r="L29" s="47">
        <v>1</v>
      </c>
      <c r="M29" s="48">
        <f t="shared" si="4"/>
        <v>8.6700000000000006E-3</v>
      </c>
      <c r="N29" s="39">
        <f t="shared" si="5"/>
        <v>7.3920599999999989E-2</v>
      </c>
      <c r="P29" s="47">
        <v>1</v>
      </c>
      <c r="Q29" s="48">
        <f t="shared" si="6"/>
        <v>8.6700000000000006E-3</v>
      </c>
      <c r="R29" s="39">
        <f t="shared" si="7"/>
        <v>7.3920599999999989E-2</v>
      </c>
      <c r="T29" s="47">
        <v>1</v>
      </c>
      <c r="U29" s="48">
        <f t="shared" si="8"/>
        <v>8.6700000000000006E-3</v>
      </c>
      <c r="V29" s="39">
        <f t="shared" si="9"/>
        <v>7.3834200000000003E-2</v>
      </c>
      <c r="W29" s="39"/>
      <c r="X29" s="115">
        <f t="shared" si="10"/>
        <v>8.6700000000000006E-3</v>
      </c>
      <c r="Y29" s="115">
        <f t="shared" si="11"/>
        <v>7.3920599999999989E-2</v>
      </c>
    </row>
    <row r="30" spans="1:25">
      <c r="A30" s="57" t="s">
        <v>63</v>
      </c>
      <c r="B30" s="57" t="s">
        <v>64</v>
      </c>
      <c r="C30" s="60"/>
      <c r="D30" s="61"/>
      <c r="E30" s="60"/>
      <c r="F30" s="66">
        <f>B35</f>
        <v>4143.8960640000005</v>
      </c>
      <c r="G30" s="77"/>
      <c r="H30" s="61"/>
      <c r="I30" s="60"/>
      <c r="J30" s="39">
        <f>I36</f>
        <v>5711.073868800001</v>
      </c>
      <c r="K30" s="77"/>
      <c r="L30" s="99"/>
      <c r="M30" s="60"/>
      <c r="N30" s="39">
        <f>M36</f>
        <v>5308.5635366400002</v>
      </c>
      <c r="P30" s="99"/>
      <c r="Q30" s="60"/>
      <c r="R30" s="39">
        <f>Q36</f>
        <v>5471.0705836799998</v>
      </c>
      <c r="T30" s="99"/>
      <c r="U30" s="60"/>
      <c r="V30" s="39">
        <f>U36</f>
        <v>5708.151535680001</v>
      </c>
      <c r="W30" s="39"/>
      <c r="X30" s="115"/>
      <c r="Y30" s="115">
        <f t="shared" si="11"/>
        <v>5711.073868800001</v>
      </c>
    </row>
    <row r="31" spans="1:25" s="9" customFormat="1">
      <c r="A31" s="87"/>
      <c r="B31" s="79"/>
      <c r="C31" s="80"/>
      <c r="D31" s="80"/>
      <c r="E31" s="80"/>
      <c r="F31" s="88"/>
      <c r="G31" s="80"/>
      <c r="H31" s="92"/>
      <c r="I31" s="80"/>
      <c r="J31" s="80"/>
      <c r="K31" s="80"/>
      <c r="L31" s="92"/>
      <c r="M31" s="80"/>
      <c r="N31" s="80"/>
      <c r="P31" s="92"/>
      <c r="Q31" s="80"/>
      <c r="R31" s="80"/>
      <c r="T31" s="92"/>
      <c r="U31" s="80"/>
      <c r="V31" s="80"/>
      <c r="W31" s="80"/>
      <c r="Y31" s="8"/>
    </row>
    <row r="32" spans="1:25" s="9" customFormat="1">
      <c r="A32" s="35" t="s">
        <v>65</v>
      </c>
      <c r="B32" s="97">
        <v>15.3</v>
      </c>
      <c r="C32" s="60" t="s">
        <v>66</v>
      </c>
      <c r="D32" s="80"/>
      <c r="E32" s="80"/>
      <c r="F32" s="88"/>
      <c r="G32" s="80"/>
      <c r="H32" s="92"/>
      <c r="I32" s="78">
        <f>I2</f>
        <v>73872</v>
      </c>
      <c r="J32" s="78" t="s">
        <v>67</v>
      </c>
      <c r="K32" s="80"/>
      <c r="L32" s="92"/>
      <c r="M32" s="78">
        <f>M2</f>
        <v>73920.599999999991</v>
      </c>
      <c r="N32" s="78" t="s">
        <v>67</v>
      </c>
      <c r="P32" s="92"/>
      <c r="Q32" s="78">
        <f>Q2</f>
        <v>73920.599999999991</v>
      </c>
      <c r="R32" s="78" t="s">
        <v>67</v>
      </c>
      <c r="T32" s="92"/>
      <c r="U32" s="78">
        <f>U2</f>
        <v>73834.2</v>
      </c>
      <c r="V32" s="78" t="s">
        <v>67</v>
      </c>
      <c r="W32" s="272"/>
      <c r="Y32" s="8"/>
    </row>
    <row r="33" spans="1:25" s="9" customFormat="1">
      <c r="A33" s="35" t="s">
        <v>68</v>
      </c>
      <c r="B33" s="35">
        <v>1</v>
      </c>
      <c r="C33" s="60"/>
      <c r="D33" s="80"/>
      <c r="E33" s="80"/>
      <c r="F33" s="88"/>
      <c r="G33" s="80"/>
      <c r="H33" s="92"/>
      <c r="I33" s="96">
        <v>21.1</v>
      </c>
      <c r="J33" s="78" t="s">
        <v>66</v>
      </c>
      <c r="K33" s="80"/>
      <c r="L33" s="92"/>
      <c r="M33" s="96">
        <v>19.600000000000001</v>
      </c>
      <c r="N33" s="78" t="s">
        <v>66</v>
      </c>
      <c r="P33" s="92"/>
      <c r="Q33" s="96">
        <v>20.2</v>
      </c>
      <c r="R33" s="78" t="s">
        <v>66</v>
      </c>
      <c r="T33" s="92"/>
      <c r="U33" s="96">
        <v>21.1</v>
      </c>
      <c r="V33" s="78" t="s">
        <v>66</v>
      </c>
      <c r="W33" s="272"/>
      <c r="Y33" s="8"/>
    </row>
    <row r="34" spans="1:25" s="9" customFormat="1">
      <c r="A34" s="35" t="s">
        <v>69</v>
      </c>
      <c r="B34" s="35">
        <f>(E2*B32*B33)/1000</f>
        <v>1130.9760000000001</v>
      </c>
      <c r="C34" s="60"/>
      <c r="D34" s="80"/>
      <c r="E34" s="80"/>
      <c r="F34" s="88"/>
      <c r="G34" s="80"/>
      <c r="H34" s="92"/>
      <c r="I34" s="78">
        <v>1</v>
      </c>
      <c r="J34" s="78"/>
      <c r="K34" s="80"/>
      <c r="L34" s="92"/>
      <c r="M34" s="78">
        <v>1</v>
      </c>
      <c r="N34" s="78"/>
      <c r="P34" s="92"/>
      <c r="Q34" s="78">
        <v>1</v>
      </c>
      <c r="R34" s="78"/>
      <c r="T34" s="92"/>
      <c r="U34" s="78">
        <v>1</v>
      </c>
      <c r="V34" s="78"/>
      <c r="W34" s="272"/>
      <c r="Y34" s="8"/>
    </row>
    <row r="35" spans="1:25" s="9" customFormat="1">
      <c r="A35" s="35" t="s">
        <v>70</v>
      </c>
      <c r="B35" s="65">
        <f>B34*3.664</f>
        <v>4143.8960640000005</v>
      </c>
      <c r="C35" s="60" t="s">
        <v>5</v>
      </c>
      <c r="D35" s="80"/>
      <c r="E35" s="80"/>
      <c r="F35" s="88"/>
      <c r="G35" s="80"/>
      <c r="H35" s="92"/>
      <c r="I35" s="78">
        <f>(I2*I33*I34)/1000</f>
        <v>1558.6992000000002</v>
      </c>
      <c r="J35" s="78"/>
      <c r="K35" s="80"/>
      <c r="L35" s="92"/>
      <c r="M35" s="78">
        <f>(M2*M33*M34)/1000</f>
        <v>1448.84376</v>
      </c>
      <c r="N35" s="78"/>
      <c r="P35" s="92"/>
      <c r="Q35" s="78">
        <f>(Q2*Q33*Q34)/1000</f>
        <v>1493.1961199999998</v>
      </c>
      <c r="R35" s="78"/>
      <c r="T35" s="92"/>
      <c r="U35" s="78">
        <f>(U2*U33*U34)/1000</f>
        <v>1557.9016200000001</v>
      </c>
      <c r="V35" s="78"/>
      <c r="W35" s="272"/>
      <c r="Y35" s="8"/>
    </row>
    <row r="36" spans="1:25" s="9" customFormat="1">
      <c r="A36" s="35" t="s">
        <v>71</v>
      </c>
      <c r="B36" s="67">
        <f>[2]Algandmed!O2</f>
        <v>0</v>
      </c>
      <c r="C36" s="59" t="s">
        <v>72</v>
      </c>
      <c r="D36" s="89"/>
      <c r="E36" s="89"/>
      <c r="F36" s="90"/>
      <c r="G36" s="82"/>
      <c r="H36" s="93"/>
      <c r="I36" s="81">
        <f>I35*3.664</f>
        <v>5711.073868800001</v>
      </c>
      <c r="J36" s="78" t="s">
        <v>5</v>
      </c>
      <c r="K36" s="82"/>
      <c r="L36" s="93"/>
      <c r="M36" s="81">
        <f>M35*3.664</f>
        <v>5308.5635366400002</v>
      </c>
      <c r="N36" s="78" t="s">
        <v>5</v>
      </c>
      <c r="P36" s="93"/>
      <c r="Q36" s="81">
        <f>Q35*3.664</f>
        <v>5471.0705836799998</v>
      </c>
      <c r="R36" s="78" t="s">
        <v>5</v>
      </c>
      <c r="T36" s="93"/>
      <c r="U36" s="81">
        <f>U35*3.664</f>
        <v>5708.151535680001</v>
      </c>
      <c r="V36" s="78" t="s">
        <v>5</v>
      </c>
      <c r="W36" s="272"/>
      <c r="Y36" s="8"/>
    </row>
    <row r="37" spans="1:25" s="9" customFormat="1">
      <c r="A37" s="68"/>
      <c r="B37" s="69"/>
      <c r="C37" s="18"/>
      <c r="D37" s="18"/>
      <c r="E37" s="18"/>
      <c r="F37" s="18"/>
      <c r="G37" s="82"/>
      <c r="H37" s="94" t="s">
        <v>74</v>
      </c>
      <c r="I37" s="85">
        <f>0.02*I4*Algandmed!I6</f>
        <v>30.400000000000002</v>
      </c>
      <c r="J37" s="86" t="s">
        <v>5</v>
      </c>
      <c r="K37" s="82"/>
      <c r="L37" s="94" t="s">
        <v>74</v>
      </c>
      <c r="M37" s="85">
        <f>0.02*M4*Algandmed!I7</f>
        <v>3.5100000000000002</v>
      </c>
      <c r="N37" s="86" t="s">
        <v>5</v>
      </c>
      <c r="P37" s="94" t="s">
        <v>74</v>
      </c>
      <c r="Q37" s="85">
        <f>0.02*Q4*Algandmed!I8</f>
        <v>3.5099999999999999E-2</v>
      </c>
      <c r="R37" s="86" t="s">
        <v>5</v>
      </c>
      <c r="T37" s="94" t="s">
        <v>74</v>
      </c>
      <c r="U37" s="85">
        <f>0.02*U4*Algandmed!I9</f>
        <v>3.6300000000000008</v>
      </c>
      <c r="V37" s="86" t="s">
        <v>5</v>
      </c>
      <c r="W37" s="273"/>
      <c r="Y37" s="8"/>
    </row>
    <row r="38" spans="1:25" s="9" customFormat="1">
      <c r="A38" s="68"/>
      <c r="B38" s="69"/>
      <c r="C38" s="18"/>
      <c r="D38" s="18"/>
      <c r="E38" s="18"/>
      <c r="F38" s="18"/>
      <c r="G38" s="82"/>
      <c r="H38" s="95" t="s">
        <v>74</v>
      </c>
      <c r="I38" s="85">
        <f>20*I3*Algandmed!I6/I5</f>
        <v>3.5679012345679011</v>
      </c>
      <c r="J38" s="86" t="s">
        <v>75</v>
      </c>
      <c r="K38" s="89"/>
      <c r="L38" s="95" t="s">
        <v>74</v>
      </c>
      <c r="M38" s="85">
        <f>20*M3*Algandmed!I7/M5</f>
        <v>0.4116809116809117</v>
      </c>
      <c r="N38" s="86" t="s">
        <v>75</v>
      </c>
      <c r="P38" s="95" t="s">
        <v>74</v>
      </c>
      <c r="Q38" s="85">
        <f>20*Q3*Algandmed!I8/Q5</f>
        <v>4.116809116809117E-3</v>
      </c>
      <c r="R38" s="86" t="s">
        <v>75</v>
      </c>
      <c r="T38" s="95" t="s">
        <v>74</v>
      </c>
      <c r="U38" s="85">
        <f>20*U3*Algandmed!I9/U5</f>
        <v>0.42625368731563423</v>
      </c>
      <c r="V38" s="86" t="s">
        <v>75</v>
      </c>
      <c r="W38" s="273"/>
      <c r="Y38" s="8"/>
    </row>
    <row r="39" spans="1:25" s="9" customFormat="1">
      <c r="A39" s="7"/>
      <c r="B39" s="7"/>
      <c r="C39" s="18"/>
      <c r="D39" s="18"/>
      <c r="E39" s="18"/>
      <c r="F39" s="18"/>
      <c r="G39" s="82"/>
      <c r="H39" s="82"/>
      <c r="I39" s="82"/>
      <c r="J39" s="82"/>
      <c r="K39" s="82"/>
      <c r="Y39" s="8"/>
    </row>
    <row r="40" spans="1:25" s="9" customFormat="1">
      <c r="A40" s="7"/>
      <c r="B40" s="7"/>
      <c r="C40" s="7"/>
      <c r="D40" s="7"/>
      <c r="E40" s="7"/>
      <c r="F40" s="7"/>
      <c r="Y40" s="8"/>
    </row>
    <row r="41" spans="1:25" s="9" customFormat="1">
      <c r="A41" s="7"/>
      <c r="B41" s="7"/>
      <c r="C41" s="7"/>
      <c r="D41" s="7"/>
      <c r="E41" s="7"/>
      <c r="F41" s="7"/>
      <c r="Y41" s="8"/>
    </row>
    <row r="42" spans="1:25" s="9" customFormat="1">
      <c r="A42" s="7"/>
      <c r="B42" s="7"/>
      <c r="C42" s="7"/>
      <c r="D42" s="7"/>
      <c r="E42" s="7"/>
      <c r="F42" s="7"/>
      <c r="Y42" s="8"/>
    </row>
    <row r="43" spans="1:25" s="9" customFormat="1">
      <c r="A43" s="7"/>
      <c r="B43" s="7"/>
      <c r="C43" s="7"/>
      <c r="D43" s="7"/>
      <c r="E43" s="7"/>
      <c r="F43" s="7"/>
      <c r="Y43" s="8"/>
    </row>
    <row r="44" spans="1:25" s="9" customFormat="1">
      <c r="A44" s="7"/>
      <c r="B44" s="7"/>
      <c r="C44" s="7"/>
      <c r="D44" s="7"/>
      <c r="E44" s="7"/>
      <c r="F44" s="7"/>
      <c r="Y44" s="8"/>
    </row>
    <row r="45" spans="1:25" s="9" customFormat="1">
      <c r="A45" s="8"/>
      <c r="B45" s="8"/>
      <c r="C45" s="8"/>
      <c r="D45" s="8"/>
      <c r="E45" s="8"/>
      <c r="F45" s="8"/>
      <c r="Y45" s="8"/>
    </row>
  </sheetData>
  <mergeCells count="14">
    <mergeCell ref="A5:C5"/>
    <mergeCell ref="X4:Y5"/>
    <mergeCell ref="D1:F1"/>
    <mergeCell ref="H1:J1"/>
    <mergeCell ref="L1:N1"/>
    <mergeCell ref="D2:D5"/>
    <mergeCell ref="H2:H5"/>
    <mergeCell ref="L2:L5"/>
    <mergeCell ref="A3:C3"/>
    <mergeCell ref="A4:C4"/>
    <mergeCell ref="P1:R1"/>
    <mergeCell ref="P2:P5"/>
    <mergeCell ref="T1:V1"/>
    <mergeCell ref="T2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5"/>
  <sheetViews>
    <sheetView zoomScale="90" zoomScaleNormal="90" workbookViewId="0">
      <selection activeCell="E39" sqref="E39"/>
    </sheetView>
  </sheetViews>
  <sheetFormatPr defaultRowHeight="14.4"/>
  <cols>
    <col min="1" max="1" width="25.88671875" style="8" customWidth="1"/>
    <col min="2" max="2" width="26.44140625" style="8" customWidth="1"/>
    <col min="3" max="3" width="10.88671875" style="8" customWidth="1"/>
    <col min="4" max="4" width="9.5546875" style="8" customWidth="1"/>
    <col min="5" max="5" width="14.21875" style="8" customWidth="1"/>
    <col min="6" max="6" width="13.44140625" style="8" customWidth="1"/>
    <col min="7" max="7" width="2.109375" style="9" customWidth="1"/>
    <col min="8" max="10" width="13.6640625" style="9" customWidth="1"/>
    <col min="11" max="11" width="1.6640625" style="9" customWidth="1"/>
    <col min="12" max="14" width="13.6640625" style="9" customWidth="1"/>
    <col min="15" max="15" width="2" style="9" customWidth="1"/>
    <col min="16" max="18" width="10.33203125" style="9" customWidth="1"/>
    <col min="19" max="19" width="2.21875" style="9" customWidth="1"/>
    <col min="20" max="20" width="12.5546875" style="9" customWidth="1"/>
    <col min="21" max="21" width="11.21875" style="9" customWidth="1"/>
    <col min="22" max="22" width="11" style="9" customWidth="1"/>
    <col min="23" max="23" width="8.88671875" style="9"/>
    <col min="24" max="24" width="13" style="9" customWidth="1"/>
    <col min="25" max="25" width="13" style="8" customWidth="1"/>
    <col min="26" max="16384" width="8.88671875" style="8"/>
  </cols>
  <sheetData>
    <row r="1" spans="1:25" ht="14.4" customHeight="1">
      <c r="A1" s="102"/>
      <c r="B1" s="103"/>
      <c r="C1" s="104"/>
      <c r="D1" s="372" t="s">
        <v>76</v>
      </c>
      <c r="E1" s="372"/>
      <c r="F1" s="373"/>
      <c r="G1" s="71"/>
      <c r="H1" s="374" t="s">
        <v>73</v>
      </c>
      <c r="I1" s="372"/>
      <c r="J1" s="373"/>
      <c r="K1" s="91"/>
      <c r="L1" s="374" t="s">
        <v>77</v>
      </c>
      <c r="M1" s="372"/>
      <c r="N1" s="373"/>
      <c r="P1" s="374" t="s">
        <v>204</v>
      </c>
      <c r="Q1" s="372"/>
      <c r="R1" s="373"/>
      <c r="T1" s="374" t="s">
        <v>205</v>
      </c>
      <c r="U1" s="372"/>
      <c r="V1" s="373"/>
      <c r="W1" s="71"/>
    </row>
    <row r="2" spans="1:25">
      <c r="A2" s="23"/>
      <c r="B2" s="9"/>
      <c r="C2" s="24"/>
      <c r="D2" s="375" t="s">
        <v>0</v>
      </c>
      <c r="E2" s="25">
        <f>E4*E5</f>
        <v>57120</v>
      </c>
      <c r="F2" s="30" t="s">
        <v>1</v>
      </c>
      <c r="G2" s="11"/>
      <c r="H2" s="375" t="s">
        <v>0</v>
      </c>
      <c r="I2" s="25">
        <f>I4*I5</f>
        <v>57542.400000000001</v>
      </c>
      <c r="J2" s="30" t="s">
        <v>1</v>
      </c>
      <c r="K2" s="11"/>
      <c r="L2" s="375" t="s">
        <v>0</v>
      </c>
      <c r="M2" s="72">
        <f>M4*M5</f>
        <v>57283.199999999997</v>
      </c>
      <c r="N2" s="30" t="s">
        <v>1</v>
      </c>
      <c r="P2" s="375" t="s">
        <v>0</v>
      </c>
      <c r="Q2" s="72">
        <f>Q4*Q5</f>
        <v>57283.199999999997</v>
      </c>
      <c r="R2" s="30" t="s">
        <v>1</v>
      </c>
      <c r="T2" s="375" t="s">
        <v>0</v>
      </c>
      <c r="U2" s="72">
        <f>U4*U5</f>
        <v>57358.8</v>
      </c>
      <c r="V2" s="30" t="s">
        <v>1</v>
      </c>
      <c r="W2" s="11"/>
    </row>
    <row r="3" spans="1:25">
      <c r="A3" s="378" t="s">
        <v>2</v>
      </c>
      <c r="B3" s="378"/>
      <c r="C3" s="378"/>
      <c r="D3" s="376"/>
      <c r="E3" s="29">
        <f>Algandmed!C11</f>
        <v>5.78</v>
      </c>
      <c r="F3" s="30" t="s">
        <v>3</v>
      </c>
      <c r="G3" s="11"/>
      <c r="H3" s="376"/>
      <c r="I3" s="29">
        <f>E3</f>
        <v>5.78</v>
      </c>
      <c r="J3" s="30" t="s">
        <v>3</v>
      </c>
      <c r="K3" s="11"/>
      <c r="L3" s="376"/>
      <c r="M3" s="29">
        <f>E3</f>
        <v>5.78</v>
      </c>
      <c r="N3" s="30" t="s">
        <v>3</v>
      </c>
      <c r="P3" s="376"/>
      <c r="Q3" s="29">
        <f>I3</f>
        <v>5.78</v>
      </c>
      <c r="R3" s="30" t="s">
        <v>3</v>
      </c>
      <c r="T3" s="376"/>
      <c r="U3" s="29">
        <f>M3</f>
        <v>5.78</v>
      </c>
      <c r="V3" s="30" t="s">
        <v>3</v>
      </c>
      <c r="W3" s="11"/>
    </row>
    <row r="4" spans="1:25">
      <c r="A4" s="379" t="s">
        <v>4</v>
      </c>
      <c r="B4" s="379"/>
      <c r="C4" s="379"/>
      <c r="D4" s="376"/>
      <c r="E4" s="72">
        <f>Algandmed!F11</f>
        <v>1700</v>
      </c>
      <c r="F4" s="30" t="s">
        <v>6</v>
      </c>
      <c r="G4" s="11"/>
      <c r="H4" s="376"/>
      <c r="I4" s="72">
        <f>Algandmed!F12</f>
        <v>1480</v>
      </c>
      <c r="J4" s="30" t="s">
        <v>5</v>
      </c>
      <c r="K4" s="11"/>
      <c r="L4" s="376"/>
      <c r="M4" s="72">
        <f>Algandmed!F13</f>
        <v>1360</v>
      </c>
      <c r="N4" s="30" t="s">
        <v>5</v>
      </c>
      <c r="P4" s="376"/>
      <c r="Q4" s="72">
        <f>Algandmed!F14</f>
        <v>1360</v>
      </c>
      <c r="R4" s="30" t="s">
        <v>5</v>
      </c>
      <c r="T4" s="376"/>
      <c r="U4" s="72">
        <f>Algandmed!F15</f>
        <v>1410</v>
      </c>
      <c r="V4" s="30" t="s">
        <v>5</v>
      </c>
      <c r="W4" s="270"/>
      <c r="X4" s="368" t="s">
        <v>229</v>
      </c>
      <c r="Y4" s="369"/>
    </row>
    <row r="5" spans="1:25">
      <c r="A5" s="365" t="s">
        <v>7</v>
      </c>
      <c r="B5" s="366"/>
      <c r="C5" s="367"/>
      <c r="D5" s="377"/>
      <c r="E5" s="33">
        <f>Algandmed!H5</f>
        <v>33.6</v>
      </c>
      <c r="F5" s="29" t="s">
        <v>8</v>
      </c>
      <c r="G5" s="73"/>
      <c r="H5" s="377"/>
      <c r="I5" s="33">
        <f>Algandmed!H6</f>
        <v>38.880000000000003</v>
      </c>
      <c r="J5" s="29" t="s">
        <v>8</v>
      </c>
      <c r="K5" s="73"/>
      <c r="L5" s="377"/>
      <c r="M5" s="33">
        <f>Algandmed!H7</f>
        <v>42.12</v>
      </c>
      <c r="N5" s="29" t="s">
        <v>8</v>
      </c>
      <c r="P5" s="377"/>
      <c r="Q5" s="33">
        <f>Algandmed!H8</f>
        <v>42.12</v>
      </c>
      <c r="R5" s="29" t="s">
        <v>8</v>
      </c>
      <c r="T5" s="377"/>
      <c r="U5" s="33">
        <f>Algandmed!H9</f>
        <v>40.68</v>
      </c>
      <c r="V5" s="29" t="s">
        <v>8</v>
      </c>
      <c r="W5" s="271"/>
      <c r="X5" s="370"/>
      <c r="Y5" s="371"/>
    </row>
    <row r="6" spans="1:25" ht="72">
      <c r="A6" s="27" t="s">
        <v>9</v>
      </c>
      <c r="B6" s="34" t="s">
        <v>10</v>
      </c>
      <c r="C6" s="34" t="s">
        <v>11</v>
      </c>
      <c r="D6" s="30" t="s">
        <v>12</v>
      </c>
      <c r="E6" s="30" t="s">
        <v>13</v>
      </c>
      <c r="F6" s="30" t="s">
        <v>14</v>
      </c>
      <c r="G6" s="11"/>
      <c r="H6" s="30" t="s">
        <v>12</v>
      </c>
      <c r="I6" s="30" t="s">
        <v>13</v>
      </c>
      <c r="J6" s="30" t="s">
        <v>14</v>
      </c>
      <c r="K6" s="11"/>
      <c r="L6" s="30" t="s">
        <v>12</v>
      </c>
      <c r="M6" s="30" t="s">
        <v>13</v>
      </c>
      <c r="N6" s="30" t="s">
        <v>14</v>
      </c>
      <c r="P6" s="30" t="s">
        <v>12</v>
      </c>
      <c r="Q6" s="30" t="s">
        <v>13</v>
      </c>
      <c r="R6" s="30" t="s">
        <v>14</v>
      </c>
      <c r="T6" s="30" t="s">
        <v>12</v>
      </c>
      <c r="U6" s="30" t="s">
        <v>13</v>
      </c>
      <c r="V6" s="30" t="s">
        <v>14</v>
      </c>
      <c r="W6" s="30"/>
      <c r="X6" s="30" t="s">
        <v>13</v>
      </c>
      <c r="Y6" s="30" t="s">
        <v>14</v>
      </c>
    </row>
    <row r="7" spans="1:25">
      <c r="A7" s="35" t="s">
        <v>15</v>
      </c>
      <c r="B7" s="256" t="s">
        <v>16</v>
      </c>
      <c r="C7" s="30" t="s">
        <v>17</v>
      </c>
      <c r="D7" s="37">
        <v>42.8</v>
      </c>
      <c r="E7" s="48">
        <f>$E$3*D7/1000</f>
        <v>0.24738399999999999</v>
      </c>
      <c r="F7" s="39">
        <f>D7*$E$2/1000000</f>
        <v>2.4447359999999998</v>
      </c>
      <c r="H7" s="37">
        <v>111</v>
      </c>
      <c r="I7" s="48">
        <f>$I$3*H7/1000</f>
        <v>0.64158000000000004</v>
      </c>
      <c r="J7" s="39">
        <f>H7*$I$2/1000000</f>
        <v>6.3872064000000002</v>
      </c>
      <c r="K7" s="74"/>
      <c r="L7" s="51">
        <v>111</v>
      </c>
      <c r="M7" s="48">
        <f>$M$3*L7/1000</f>
        <v>0.64158000000000004</v>
      </c>
      <c r="N7" s="39">
        <f>L7*$M$2/1000000</f>
        <v>6.3584351999999988</v>
      </c>
      <c r="P7" s="51">
        <v>111</v>
      </c>
      <c r="Q7" s="48">
        <f>$Q$3*P7/1000</f>
        <v>0.64158000000000004</v>
      </c>
      <c r="R7" s="39">
        <f>P7*$Q$2/1000000</f>
        <v>6.3584351999999988</v>
      </c>
      <c r="T7" s="51">
        <v>111</v>
      </c>
      <c r="U7" s="48">
        <f>$U$3*T7/1000</f>
        <v>0.64158000000000004</v>
      </c>
      <c r="V7" s="39">
        <f>T7*$U$2/1000000</f>
        <v>6.366826800000001</v>
      </c>
      <c r="W7" s="39"/>
      <c r="X7" s="115">
        <f>MAX(E7,I7,M7,Q7,U7)</f>
        <v>0.64158000000000004</v>
      </c>
      <c r="Y7" s="115">
        <f>MAX(F7,J7,N7,R7,V7)</f>
        <v>6.3872064000000002</v>
      </c>
    </row>
    <row r="8" spans="1:25">
      <c r="A8" s="35" t="s">
        <v>18</v>
      </c>
      <c r="B8" s="256" t="s">
        <v>19</v>
      </c>
      <c r="C8" s="30" t="s">
        <v>17</v>
      </c>
      <c r="D8" s="37">
        <v>30</v>
      </c>
      <c r="E8" s="48">
        <f t="shared" ref="E8:E29" si="0">$E$3*D8/1000</f>
        <v>0.1734</v>
      </c>
      <c r="F8" s="39">
        <f t="shared" ref="F8:F29" si="1">D8*$E$2/1000000</f>
        <v>1.7136</v>
      </c>
      <c r="G8" s="74"/>
      <c r="H8" s="37">
        <v>42</v>
      </c>
      <c r="I8" s="48">
        <f t="shared" ref="I8:I29" si="2">$I$3*H8/1000</f>
        <v>0.24276000000000003</v>
      </c>
      <c r="J8" s="39">
        <f t="shared" ref="J8:J29" si="3">H8*$I$2/1000000</f>
        <v>2.4167808000000002</v>
      </c>
      <c r="K8" s="74"/>
      <c r="L8" s="51">
        <v>42</v>
      </c>
      <c r="M8" s="48">
        <f t="shared" ref="M8:M29" si="4">$M$3*L8/1000</f>
        <v>0.24276000000000003</v>
      </c>
      <c r="N8" s="39">
        <f t="shared" ref="N8:N29" si="5">L8*$M$2/1000000</f>
        <v>2.4058943999999998</v>
      </c>
      <c r="P8" s="51">
        <v>42</v>
      </c>
      <c r="Q8" s="48">
        <f t="shared" ref="Q8:Q29" si="6">$Q$3*P8/1000</f>
        <v>0.24276000000000003</v>
      </c>
      <c r="R8" s="39">
        <f t="shared" ref="R8:R29" si="7">P8*$Q$2/1000000</f>
        <v>2.4058943999999998</v>
      </c>
      <c r="T8" s="51">
        <v>42</v>
      </c>
      <c r="U8" s="48">
        <f t="shared" ref="U8:U29" si="8">$U$3*T8/1000</f>
        <v>0.24276000000000003</v>
      </c>
      <c r="V8" s="39">
        <f t="shared" ref="V8:V29" si="9">T8*$U$2/1000000</f>
        <v>2.4090696</v>
      </c>
      <c r="W8" s="39"/>
      <c r="X8" s="115">
        <f t="shared" ref="X8:Y29" si="10">MAX(E8,I8,M8,Q8,U8)</f>
        <v>0.24276000000000003</v>
      </c>
      <c r="Y8" s="115">
        <f t="shared" si="10"/>
        <v>2.4167808000000002</v>
      </c>
    </row>
    <row r="9" spans="1:25">
      <c r="A9" s="40" t="s">
        <v>20</v>
      </c>
      <c r="B9" s="256" t="s">
        <v>21</v>
      </c>
      <c r="C9" s="30" t="s">
        <v>17</v>
      </c>
      <c r="D9" s="37">
        <v>2</v>
      </c>
      <c r="E9" s="48">
        <f t="shared" si="0"/>
        <v>1.1560000000000001E-2</v>
      </c>
      <c r="F9" s="39">
        <f t="shared" si="1"/>
        <v>0.11423999999999999</v>
      </c>
      <c r="G9" s="74"/>
      <c r="H9" s="37">
        <v>5</v>
      </c>
      <c r="I9" s="48">
        <f t="shared" si="2"/>
        <v>2.8900000000000002E-2</v>
      </c>
      <c r="J9" s="39">
        <f t="shared" si="3"/>
        <v>0.28771200000000002</v>
      </c>
      <c r="K9" s="74"/>
      <c r="L9" s="51">
        <v>5</v>
      </c>
      <c r="M9" s="48">
        <f t="shared" si="4"/>
        <v>2.8900000000000002E-2</v>
      </c>
      <c r="N9" s="39">
        <f t="shared" si="5"/>
        <v>0.286416</v>
      </c>
      <c r="P9" s="51">
        <v>5</v>
      </c>
      <c r="Q9" s="48">
        <f t="shared" si="6"/>
        <v>2.8900000000000002E-2</v>
      </c>
      <c r="R9" s="39">
        <f t="shared" si="7"/>
        <v>0.286416</v>
      </c>
      <c r="T9" s="51">
        <v>5</v>
      </c>
      <c r="U9" s="48">
        <f t="shared" si="8"/>
        <v>2.8900000000000002E-2</v>
      </c>
      <c r="V9" s="39">
        <f t="shared" si="9"/>
        <v>0.28679399999999999</v>
      </c>
      <c r="W9" s="39"/>
      <c r="X9" s="115">
        <f t="shared" si="10"/>
        <v>2.8900000000000002E-2</v>
      </c>
      <c r="Y9" s="115">
        <f t="shared" si="10"/>
        <v>0.28771200000000002</v>
      </c>
    </row>
    <row r="10" spans="1:25" s="7" customFormat="1">
      <c r="A10" s="41" t="s">
        <v>22</v>
      </c>
      <c r="B10" s="256" t="s">
        <v>23</v>
      </c>
      <c r="C10" s="30" t="s">
        <v>17</v>
      </c>
      <c r="D10" s="37">
        <v>0.51</v>
      </c>
      <c r="E10" s="48">
        <f t="shared" si="0"/>
        <v>2.9478E-3</v>
      </c>
      <c r="F10" s="39">
        <f t="shared" si="1"/>
        <v>2.9131199999999999E-2</v>
      </c>
      <c r="G10" s="74"/>
      <c r="H10" s="37"/>
      <c r="I10" s="48">
        <f>I38</f>
        <v>2.378600823045268</v>
      </c>
      <c r="J10" s="39">
        <f>I37</f>
        <v>23.680000000000003</v>
      </c>
      <c r="K10" s="74"/>
      <c r="L10" s="51"/>
      <c r="M10" s="48">
        <f>M38</f>
        <v>0.27445394112060784</v>
      </c>
      <c r="N10" s="39">
        <f>M37</f>
        <v>2.72</v>
      </c>
      <c r="O10" s="9"/>
      <c r="P10" s="51"/>
      <c r="Q10" s="48">
        <f>Q38</f>
        <v>2.7445394112060781E-3</v>
      </c>
      <c r="R10" s="39">
        <f>Q37</f>
        <v>2.7199999999999998E-2</v>
      </c>
      <c r="S10" s="9"/>
      <c r="T10" s="51"/>
      <c r="U10" s="48">
        <f>U38</f>
        <v>0.28416912487708956</v>
      </c>
      <c r="V10" s="39">
        <f>U37</f>
        <v>2.8200000000000003</v>
      </c>
      <c r="W10" s="39"/>
      <c r="X10" s="115">
        <f t="shared" si="10"/>
        <v>2.378600823045268</v>
      </c>
      <c r="Y10" s="115">
        <f t="shared" si="10"/>
        <v>23.680000000000003</v>
      </c>
    </row>
    <row r="11" spans="1:25">
      <c r="A11" s="42" t="s">
        <v>24</v>
      </c>
      <c r="B11" s="256" t="s">
        <v>25</v>
      </c>
      <c r="C11" s="30" t="s">
        <v>17</v>
      </c>
      <c r="D11" s="37">
        <v>0.45</v>
      </c>
      <c r="E11" s="48">
        <f t="shared" si="0"/>
        <v>2.601E-3</v>
      </c>
      <c r="F11" s="39">
        <f t="shared" si="1"/>
        <v>2.5704000000000001E-2</v>
      </c>
      <c r="G11" s="74"/>
      <c r="H11" s="37">
        <v>40</v>
      </c>
      <c r="I11" s="48">
        <f t="shared" si="2"/>
        <v>0.23120000000000002</v>
      </c>
      <c r="J11" s="39">
        <f t="shared" si="3"/>
        <v>2.3016960000000002</v>
      </c>
      <c r="K11" s="74"/>
      <c r="L11" s="51">
        <v>40</v>
      </c>
      <c r="M11" s="48">
        <f t="shared" si="4"/>
        <v>0.23120000000000002</v>
      </c>
      <c r="N11" s="39">
        <f t="shared" si="5"/>
        <v>2.291328</v>
      </c>
      <c r="P11" s="51">
        <v>40</v>
      </c>
      <c r="Q11" s="48">
        <f t="shared" si="6"/>
        <v>0.23120000000000002</v>
      </c>
      <c r="R11" s="39">
        <f t="shared" si="7"/>
        <v>2.291328</v>
      </c>
      <c r="T11" s="51">
        <v>40</v>
      </c>
      <c r="U11" s="48">
        <f t="shared" si="8"/>
        <v>0.23120000000000002</v>
      </c>
      <c r="V11" s="39">
        <f t="shared" si="9"/>
        <v>2.2943519999999999</v>
      </c>
      <c r="W11" s="39"/>
      <c r="X11" s="115">
        <f t="shared" si="10"/>
        <v>0.23120000000000002</v>
      </c>
      <c r="Y11" s="115">
        <f t="shared" si="10"/>
        <v>2.3016960000000002</v>
      </c>
    </row>
    <row r="12" spans="1:25">
      <c r="A12" s="43" t="s">
        <v>26</v>
      </c>
      <c r="B12" s="256" t="s">
        <v>27</v>
      </c>
      <c r="C12" s="30" t="s">
        <v>17</v>
      </c>
      <c r="D12" s="37">
        <v>0.45</v>
      </c>
      <c r="E12" s="48">
        <f t="shared" si="0"/>
        <v>2.601E-3</v>
      </c>
      <c r="F12" s="39">
        <f t="shared" si="1"/>
        <v>2.5704000000000001E-2</v>
      </c>
      <c r="G12" s="74"/>
      <c r="H12" s="37">
        <v>6</v>
      </c>
      <c r="I12" s="48">
        <f t="shared" si="2"/>
        <v>3.4680000000000002E-2</v>
      </c>
      <c r="J12" s="39">
        <f t="shared" si="3"/>
        <v>0.34525440000000002</v>
      </c>
      <c r="K12" s="74"/>
      <c r="L12" s="51">
        <v>6</v>
      </c>
      <c r="M12" s="48">
        <f t="shared" si="4"/>
        <v>3.4680000000000002E-2</v>
      </c>
      <c r="N12" s="39">
        <f t="shared" si="5"/>
        <v>0.34369919999999993</v>
      </c>
      <c r="P12" s="51">
        <v>6</v>
      </c>
      <c r="Q12" s="48">
        <f t="shared" si="6"/>
        <v>3.4680000000000002E-2</v>
      </c>
      <c r="R12" s="39">
        <f t="shared" si="7"/>
        <v>0.34369919999999993</v>
      </c>
      <c r="T12" s="51">
        <v>6</v>
      </c>
      <c r="U12" s="48">
        <f t="shared" si="8"/>
        <v>3.4680000000000002E-2</v>
      </c>
      <c r="V12" s="39">
        <f t="shared" si="9"/>
        <v>0.34415280000000004</v>
      </c>
      <c r="W12" s="39"/>
      <c r="X12" s="115">
        <f t="shared" si="10"/>
        <v>3.4680000000000002E-2</v>
      </c>
      <c r="Y12" s="115">
        <f t="shared" si="10"/>
        <v>0.34525440000000002</v>
      </c>
    </row>
    <row r="13" spans="1:25" ht="18" customHeight="1">
      <c r="A13" s="43" t="s">
        <v>28</v>
      </c>
      <c r="B13" s="256" t="s">
        <v>29</v>
      </c>
      <c r="C13" s="30" t="s">
        <v>17</v>
      </c>
      <c r="D13" s="37">
        <v>0.45</v>
      </c>
      <c r="E13" s="48">
        <f t="shared" si="0"/>
        <v>2.601E-3</v>
      </c>
      <c r="F13" s="39">
        <f t="shared" si="1"/>
        <v>2.5704000000000001E-2</v>
      </c>
      <c r="G13" s="74"/>
      <c r="H13" s="37">
        <v>6</v>
      </c>
      <c r="I13" s="48">
        <f t="shared" si="2"/>
        <v>3.4680000000000002E-2</v>
      </c>
      <c r="J13" s="39">
        <f t="shared" si="3"/>
        <v>0.34525440000000002</v>
      </c>
      <c r="K13" s="74"/>
      <c r="L13" s="51">
        <v>6</v>
      </c>
      <c r="M13" s="48">
        <f t="shared" si="4"/>
        <v>3.4680000000000002E-2</v>
      </c>
      <c r="N13" s="39">
        <f t="shared" si="5"/>
        <v>0.34369919999999993</v>
      </c>
      <c r="P13" s="51">
        <v>6</v>
      </c>
      <c r="Q13" s="48">
        <f t="shared" si="6"/>
        <v>3.4680000000000002E-2</v>
      </c>
      <c r="R13" s="39">
        <f t="shared" si="7"/>
        <v>0.34369919999999993</v>
      </c>
      <c r="T13" s="51">
        <v>6</v>
      </c>
      <c r="U13" s="48">
        <f t="shared" si="8"/>
        <v>3.4680000000000002E-2</v>
      </c>
      <c r="V13" s="39">
        <f t="shared" si="9"/>
        <v>0.34415280000000004</v>
      </c>
      <c r="W13" s="39"/>
      <c r="X13" s="115">
        <f t="shared" si="10"/>
        <v>3.4680000000000002E-2</v>
      </c>
      <c r="Y13" s="115">
        <f t="shared" si="10"/>
        <v>0.34525440000000002</v>
      </c>
    </row>
    <row r="14" spans="1:25">
      <c r="A14" s="43" t="s">
        <v>30</v>
      </c>
      <c r="B14" s="256" t="s">
        <v>31</v>
      </c>
      <c r="C14" s="30" t="s">
        <v>32</v>
      </c>
      <c r="D14" s="44">
        <v>5.3999999999999999E-2</v>
      </c>
      <c r="E14" s="48">
        <f t="shared" si="0"/>
        <v>3.1211999999999999E-4</v>
      </c>
      <c r="F14" s="39">
        <f t="shared" si="1"/>
        <v>3.0844800000000001E-3</v>
      </c>
      <c r="G14" s="74"/>
      <c r="H14" s="44"/>
      <c r="I14" s="48">
        <f t="shared" si="2"/>
        <v>0</v>
      </c>
      <c r="J14" s="39">
        <f t="shared" si="3"/>
        <v>0</v>
      </c>
      <c r="K14" s="74"/>
      <c r="L14" s="101"/>
      <c r="M14" s="48">
        <f t="shared" si="4"/>
        <v>0</v>
      </c>
      <c r="N14" s="39">
        <f t="shared" si="5"/>
        <v>0</v>
      </c>
      <c r="P14" s="101"/>
      <c r="Q14" s="48">
        <f t="shared" si="6"/>
        <v>0</v>
      </c>
      <c r="R14" s="39">
        <f t="shared" si="7"/>
        <v>0</v>
      </c>
      <c r="T14" s="101"/>
      <c r="U14" s="48">
        <f t="shared" si="8"/>
        <v>0</v>
      </c>
      <c r="V14" s="39">
        <f t="shared" si="9"/>
        <v>0</v>
      </c>
      <c r="W14" s="39"/>
      <c r="X14" s="115">
        <f t="shared" si="10"/>
        <v>3.1211999999999999E-4</v>
      </c>
      <c r="Y14" s="115">
        <f t="shared" si="10"/>
        <v>3.0844800000000001E-3</v>
      </c>
    </row>
    <row r="15" spans="1:25">
      <c r="A15" s="45" t="s">
        <v>33</v>
      </c>
      <c r="B15" s="46" t="s">
        <v>34</v>
      </c>
      <c r="C15" s="45" t="s">
        <v>35</v>
      </c>
      <c r="D15" s="47">
        <v>1.5E-3</v>
      </c>
      <c r="E15" s="48">
        <f t="shared" si="0"/>
        <v>8.67E-6</v>
      </c>
      <c r="F15" s="39">
        <f t="shared" si="1"/>
        <v>8.5680000000000006E-5</v>
      </c>
      <c r="G15" s="76"/>
      <c r="H15" s="47">
        <v>10</v>
      </c>
      <c r="I15" s="48">
        <f t="shared" si="2"/>
        <v>5.7800000000000004E-2</v>
      </c>
      <c r="J15" s="39">
        <f t="shared" si="3"/>
        <v>0.57542400000000005</v>
      </c>
      <c r="K15" s="76"/>
      <c r="L15" s="47">
        <v>10</v>
      </c>
      <c r="M15" s="48">
        <f t="shared" si="4"/>
        <v>5.7800000000000004E-2</v>
      </c>
      <c r="N15" s="39">
        <f t="shared" si="5"/>
        <v>0.57283200000000001</v>
      </c>
      <c r="P15" s="47">
        <v>10</v>
      </c>
      <c r="Q15" s="48">
        <f t="shared" si="6"/>
        <v>5.7800000000000004E-2</v>
      </c>
      <c r="R15" s="39">
        <f t="shared" si="7"/>
        <v>0.57283200000000001</v>
      </c>
      <c r="T15" s="47">
        <v>10</v>
      </c>
      <c r="U15" s="48">
        <f t="shared" si="8"/>
        <v>5.7800000000000004E-2</v>
      </c>
      <c r="V15" s="39">
        <f t="shared" si="9"/>
        <v>0.57358799999999999</v>
      </c>
      <c r="W15" s="39"/>
      <c r="X15" s="115">
        <f t="shared" si="10"/>
        <v>5.7800000000000004E-2</v>
      </c>
      <c r="Y15" s="115">
        <f t="shared" si="10"/>
        <v>0.57542400000000005</v>
      </c>
    </row>
    <row r="16" spans="1:25">
      <c r="A16" s="45" t="s">
        <v>36</v>
      </c>
      <c r="B16" s="49" t="s">
        <v>37</v>
      </c>
      <c r="C16" s="50" t="s">
        <v>35</v>
      </c>
      <c r="D16" s="51">
        <v>2.5000000000000001E-4</v>
      </c>
      <c r="E16" s="48">
        <f t="shared" si="0"/>
        <v>1.4450000000000001E-6</v>
      </c>
      <c r="F16" s="39">
        <f t="shared" si="1"/>
        <v>1.428E-5</v>
      </c>
      <c r="G16" s="76"/>
      <c r="H16" s="51">
        <v>0.3</v>
      </c>
      <c r="I16" s="48">
        <f t="shared" si="2"/>
        <v>1.7340000000000001E-3</v>
      </c>
      <c r="J16" s="39">
        <f t="shared" si="3"/>
        <v>1.7262720000000002E-2</v>
      </c>
      <c r="K16" s="76"/>
      <c r="L16" s="51">
        <v>0.3</v>
      </c>
      <c r="M16" s="48">
        <f t="shared" si="4"/>
        <v>1.7340000000000001E-3</v>
      </c>
      <c r="N16" s="39">
        <f t="shared" si="5"/>
        <v>1.7184959999999999E-2</v>
      </c>
      <c r="P16" s="51">
        <v>0.3</v>
      </c>
      <c r="Q16" s="48">
        <f t="shared" si="6"/>
        <v>1.7340000000000001E-3</v>
      </c>
      <c r="R16" s="39">
        <f t="shared" si="7"/>
        <v>1.7184959999999999E-2</v>
      </c>
      <c r="T16" s="51">
        <v>0.3</v>
      </c>
      <c r="U16" s="48">
        <f t="shared" si="8"/>
        <v>1.7340000000000001E-3</v>
      </c>
      <c r="V16" s="39">
        <f t="shared" si="9"/>
        <v>1.720764E-2</v>
      </c>
      <c r="W16" s="39"/>
      <c r="X16" s="115">
        <f t="shared" si="10"/>
        <v>1.7340000000000001E-3</v>
      </c>
      <c r="Y16" s="115">
        <f t="shared" si="10"/>
        <v>1.7262720000000002E-2</v>
      </c>
    </row>
    <row r="17" spans="1:25">
      <c r="A17" s="45" t="s">
        <v>38</v>
      </c>
      <c r="B17" s="49" t="s">
        <v>39</v>
      </c>
      <c r="C17" s="50" t="s">
        <v>35</v>
      </c>
      <c r="D17" s="51">
        <v>0.1</v>
      </c>
      <c r="E17" s="48">
        <f t="shared" si="0"/>
        <v>5.7800000000000006E-4</v>
      </c>
      <c r="F17" s="39">
        <f t="shared" si="1"/>
        <v>5.7120000000000001E-3</v>
      </c>
      <c r="G17" s="76"/>
      <c r="H17" s="51">
        <v>0.1</v>
      </c>
      <c r="I17" s="48">
        <f t="shared" si="2"/>
        <v>5.7800000000000006E-4</v>
      </c>
      <c r="J17" s="39">
        <f t="shared" si="3"/>
        <v>5.7542400000000007E-3</v>
      </c>
      <c r="K17" s="76"/>
      <c r="L17" s="51">
        <v>0.1</v>
      </c>
      <c r="M17" s="48">
        <f t="shared" si="4"/>
        <v>5.7800000000000006E-4</v>
      </c>
      <c r="N17" s="39">
        <f t="shared" si="5"/>
        <v>5.7283199999999994E-3</v>
      </c>
      <c r="P17" s="51">
        <v>0.1</v>
      </c>
      <c r="Q17" s="48">
        <f t="shared" si="6"/>
        <v>5.7800000000000006E-4</v>
      </c>
      <c r="R17" s="39">
        <f t="shared" si="7"/>
        <v>5.7283199999999994E-3</v>
      </c>
      <c r="T17" s="51">
        <v>0.1</v>
      </c>
      <c r="U17" s="48">
        <f t="shared" si="8"/>
        <v>5.7800000000000006E-4</v>
      </c>
      <c r="V17" s="39">
        <f t="shared" si="9"/>
        <v>5.7358800000000014E-3</v>
      </c>
      <c r="W17" s="39"/>
      <c r="X17" s="115">
        <f t="shared" si="10"/>
        <v>5.7800000000000006E-4</v>
      </c>
      <c r="Y17" s="115">
        <f t="shared" si="10"/>
        <v>5.7542400000000007E-3</v>
      </c>
    </row>
    <row r="18" spans="1:25">
      <c r="A18" s="45" t="s">
        <v>40</v>
      </c>
      <c r="B18" s="49" t="s">
        <v>41</v>
      </c>
      <c r="C18" s="50" t="s">
        <v>35</v>
      </c>
      <c r="D18" s="51">
        <v>0.12</v>
      </c>
      <c r="E18" s="48">
        <f t="shared" si="0"/>
        <v>6.9359999999999995E-4</v>
      </c>
      <c r="F18" s="39">
        <f t="shared" si="1"/>
        <v>6.8543999999999992E-3</v>
      </c>
      <c r="G18" s="76"/>
      <c r="H18" s="51">
        <v>44.5</v>
      </c>
      <c r="I18" s="48">
        <f t="shared" si="2"/>
        <v>0.25721000000000005</v>
      </c>
      <c r="J18" s="39">
        <f t="shared" si="3"/>
        <v>2.5606368000000002</v>
      </c>
      <c r="K18" s="76"/>
      <c r="L18" s="51">
        <v>44.5</v>
      </c>
      <c r="M18" s="48">
        <f t="shared" si="4"/>
        <v>0.25721000000000005</v>
      </c>
      <c r="N18" s="39">
        <f t="shared" si="5"/>
        <v>2.5491023999999998</v>
      </c>
      <c r="P18" s="51">
        <v>44.5</v>
      </c>
      <c r="Q18" s="48">
        <f t="shared" si="6"/>
        <v>0.25721000000000005</v>
      </c>
      <c r="R18" s="39">
        <f t="shared" si="7"/>
        <v>2.5491023999999998</v>
      </c>
      <c r="T18" s="51">
        <v>44.5</v>
      </c>
      <c r="U18" s="48">
        <f t="shared" si="8"/>
        <v>0.25721000000000005</v>
      </c>
      <c r="V18" s="39">
        <f t="shared" si="9"/>
        <v>2.5524666000000003</v>
      </c>
      <c r="W18" s="39"/>
      <c r="X18" s="115">
        <f t="shared" si="10"/>
        <v>0.25721000000000005</v>
      </c>
      <c r="Y18" s="115">
        <f t="shared" si="10"/>
        <v>2.5606368000000002</v>
      </c>
    </row>
    <row r="19" spans="1:25">
      <c r="A19" s="45" t="s">
        <v>42</v>
      </c>
      <c r="B19" s="49" t="s">
        <v>43</v>
      </c>
      <c r="C19" s="50" t="s">
        <v>35</v>
      </c>
      <c r="D19" s="51">
        <v>7.6000000000000004E-4</v>
      </c>
      <c r="E19" s="48">
        <f t="shared" si="0"/>
        <v>4.3928000000000005E-6</v>
      </c>
      <c r="F19" s="39">
        <f t="shared" si="1"/>
        <v>4.3411200000000002E-5</v>
      </c>
      <c r="G19" s="76"/>
      <c r="H19" s="51">
        <v>20</v>
      </c>
      <c r="I19" s="48">
        <f t="shared" si="2"/>
        <v>0.11560000000000001</v>
      </c>
      <c r="J19" s="39">
        <f t="shared" si="3"/>
        <v>1.1508480000000001</v>
      </c>
      <c r="K19" s="76"/>
      <c r="L19" s="51">
        <v>20</v>
      </c>
      <c r="M19" s="48">
        <f t="shared" si="4"/>
        <v>0.11560000000000001</v>
      </c>
      <c r="N19" s="39">
        <f t="shared" si="5"/>
        <v>1.145664</v>
      </c>
      <c r="P19" s="51">
        <v>20</v>
      </c>
      <c r="Q19" s="48">
        <f t="shared" si="6"/>
        <v>0.11560000000000001</v>
      </c>
      <c r="R19" s="39">
        <f t="shared" si="7"/>
        <v>1.145664</v>
      </c>
      <c r="T19" s="51">
        <v>20</v>
      </c>
      <c r="U19" s="48">
        <f t="shared" si="8"/>
        <v>0.11560000000000001</v>
      </c>
      <c r="V19" s="39">
        <f t="shared" si="9"/>
        <v>1.147176</v>
      </c>
      <c r="W19" s="39"/>
      <c r="X19" s="115">
        <f t="shared" si="10"/>
        <v>0.11560000000000001</v>
      </c>
      <c r="Y19" s="115">
        <f t="shared" si="10"/>
        <v>1.1508480000000001</v>
      </c>
    </row>
    <row r="20" spans="1:25">
      <c r="A20" s="45" t="s">
        <v>44</v>
      </c>
      <c r="B20" s="49" t="s">
        <v>45</v>
      </c>
      <c r="C20" s="50" t="s">
        <v>35</v>
      </c>
      <c r="D20" s="51">
        <v>7.6000000000000004E-4</v>
      </c>
      <c r="E20" s="48">
        <f t="shared" si="0"/>
        <v>4.3928000000000005E-6</v>
      </c>
      <c r="F20" s="39">
        <f t="shared" si="1"/>
        <v>4.3411200000000002E-5</v>
      </c>
      <c r="G20" s="76"/>
      <c r="H20" s="51">
        <v>6</v>
      </c>
      <c r="I20" s="48">
        <f t="shared" si="2"/>
        <v>3.4680000000000002E-2</v>
      </c>
      <c r="J20" s="39">
        <f t="shared" si="3"/>
        <v>0.34525440000000002</v>
      </c>
      <c r="K20" s="76"/>
      <c r="L20" s="51">
        <v>6</v>
      </c>
      <c r="M20" s="48">
        <f t="shared" si="4"/>
        <v>3.4680000000000002E-2</v>
      </c>
      <c r="N20" s="39">
        <f t="shared" si="5"/>
        <v>0.34369919999999993</v>
      </c>
      <c r="P20" s="51">
        <v>6</v>
      </c>
      <c r="Q20" s="48">
        <f t="shared" si="6"/>
        <v>3.4680000000000002E-2</v>
      </c>
      <c r="R20" s="39">
        <f t="shared" si="7"/>
        <v>0.34369919999999993</v>
      </c>
      <c r="T20" s="51">
        <v>6</v>
      </c>
      <c r="U20" s="48">
        <f t="shared" si="8"/>
        <v>3.4680000000000002E-2</v>
      </c>
      <c r="V20" s="39">
        <f t="shared" si="9"/>
        <v>0.34415280000000004</v>
      </c>
      <c r="W20" s="39"/>
      <c r="X20" s="115">
        <f t="shared" si="10"/>
        <v>3.4680000000000002E-2</v>
      </c>
      <c r="Y20" s="115">
        <f t="shared" si="10"/>
        <v>0.34525440000000002</v>
      </c>
    </row>
    <row r="21" spans="1:25">
      <c r="A21" s="45" t="s">
        <v>46</v>
      </c>
      <c r="B21" s="46" t="s">
        <v>47</v>
      </c>
      <c r="C21" s="45" t="s">
        <v>35</v>
      </c>
      <c r="D21" s="47">
        <v>5.1000000000000004E-4</v>
      </c>
      <c r="E21" s="48">
        <f t="shared" si="0"/>
        <v>2.9478000000000004E-6</v>
      </c>
      <c r="F21" s="39">
        <f t="shared" si="1"/>
        <v>2.9131200000000003E-5</v>
      </c>
      <c r="G21" s="76"/>
      <c r="H21" s="47">
        <v>200</v>
      </c>
      <c r="I21" s="48">
        <f t="shared" si="2"/>
        <v>1.1559999999999999</v>
      </c>
      <c r="J21" s="39">
        <f t="shared" si="3"/>
        <v>11.50848</v>
      </c>
      <c r="K21" s="76"/>
      <c r="L21" s="47">
        <v>200</v>
      </c>
      <c r="M21" s="48">
        <f t="shared" si="4"/>
        <v>1.1559999999999999</v>
      </c>
      <c r="N21" s="39">
        <f t="shared" si="5"/>
        <v>11.45664</v>
      </c>
      <c r="P21" s="47">
        <v>200</v>
      </c>
      <c r="Q21" s="48">
        <f t="shared" si="6"/>
        <v>1.1559999999999999</v>
      </c>
      <c r="R21" s="39">
        <f t="shared" si="7"/>
        <v>11.45664</v>
      </c>
      <c r="T21" s="47">
        <v>200</v>
      </c>
      <c r="U21" s="48">
        <f t="shared" si="8"/>
        <v>1.1559999999999999</v>
      </c>
      <c r="V21" s="39">
        <f t="shared" si="9"/>
        <v>11.47176</v>
      </c>
      <c r="W21" s="39"/>
      <c r="X21" s="115">
        <f t="shared" si="10"/>
        <v>1.1559999999999999</v>
      </c>
      <c r="Y21" s="115">
        <f t="shared" si="10"/>
        <v>11.50848</v>
      </c>
    </row>
    <row r="22" spans="1:25">
      <c r="A22" s="45" t="s">
        <v>48</v>
      </c>
      <c r="B22" s="46" t="s">
        <v>49</v>
      </c>
      <c r="C22" s="45" t="s">
        <v>35</v>
      </c>
      <c r="D22" s="47">
        <v>5.1000000000000004E-4</v>
      </c>
      <c r="E22" s="48">
        <f t="shared" si="0"/>
        <v>2.9478000000000004E-6</v>
      </c>
      <c r="F22" s="39">
        <f t="shared" si="1"/>
        <v>2.9131200000000003E-5</v>
      </c>
      <c r="G22" s="76"/>
      <c r="H22" s="47">
        <v>0</v>
      </c>
      <c r="I22" s="48">
        <f t="shared" si="2"/>
        <v>0</v>
      </c>
      <c r="J22" s="39">
        <f t="shared" si="3"/>
        <v>0</v>
      </c>
      <c r="K22" s="76"/>
      <c r="L22" s="47">
        <v>0</v>
      </c>
      <c r="M22" s="48">
        <f t="shared" si="4"/>
        <v>0</v>
      </c>
      <c r="N22" s="39">
        <f t="shared" si="5"/>
        <v>0</v>
      </c>
      <c r="P22" s="47">
        <v>0</v>
      </c>
      <c r="Q22" s="48">
        <f t="shared" si="6"/>
        <v>0</v>
      </c>
      <c r="R22" s="39">
        <f t="shared" si="7"/>
        <v>0</v>
      </c>
      <c r="T22" s="47">
        <v>0</v>
      </c>
      <c r="U22" s="48">
        <f t="shared" si="8"/>
        <v>0</v>
      </c>
      <c r="V22" s="39">
        <f t="shared" si="9"/>
        <v>0</v>
      </c>
      <c r="W22" s="39"/>
      <c r="X22" s="115">
        <f t="shared" si="10"/>
        <v>2.9478000000000004E-6</v>
      </c>
      <c r="Y22" s="115">
        <f t="shared" si="10"/>
        <v>2.9131200000000003E-5</v>
      </c>
    </row>
    <row r="23" spans="1:25">
      <c r="A23" s="45" t="s">
        <v>50</v>
      </c>
      <c r="B23" s="46" t="s">
        <v>51</v>
      </c>
      <c r="C23" s="50" t="s">
        <v>35</v>
      </c>
      <c r="D23" s="51">
        <v>1.4999999999999999E-2</v>
      </c>
      <c r="E23" s="48">
        <f t="shared" si="0"/>
        <v>8.6699999999999993E-5</v>
      </c>
      <c r="F23" s="39">
        <f t="shared" si="1"/>
        <v>8.567999999999999E-4</v>
      </c>
      <c r="G23" s="76"/>
      <c r="H23" s="51">
        <v>5</v>
      </c>
      <c r="I23" s="48">
        <f t="shared" si="2"/>
        <v>2.8900000000000002E-2</v>
      </c>
      <c r="J23" s="39">
        <f t="shared" si="3"/>
        <v>0.28771200000000002</v>
      </c>
      <c r="K23" s="76"/>
      <c r="L23" s="51">
        <v>5</v>
      </c>
      <c r="M23" s="48">
        <f t="shared" si="4"/>
        <v>2.8900000000000002E-2</v>
      </c>
      <c r="N23" s="39">
        <f t="shared" si="5"/>
        <v>0.286416</v>
      </c>
      <c r="P23" s="51">
        <v>5</v>
      </c>
      <c r="Q23" s="48">
        <f t="shared" si="6"/>
        <v>2.8900000000000002E-2</v>
      </c>
      <c r="R23" s="39">
        <f t="shared" si="7"/>
        <v>0.286416</v>
      </c>
      <c r="T23" s="51">
        <v>5</v>
      </c>
      <c r="U23" s="48">
        <f t="shared" si="8"/>
        <v>2.8900000000000002E-2</v>
      </c>
      <c r="V23" s="39">
        <f t="shared" si="9"/>
        <v>0.28679399999999999</v>
      </c>
      <c r="W23" s="39"/>
      <c r="X23" s="115">
        <f t="shared" si="10"/>
        <v>2.8900000000000002E-2</v>
      </c>
      <c r="Y23" s="115">
        <f t="shared" si="10"/>
        <v>0.28771200000000002</v>
      </c>
    </row>
    <row r="24" spans="1:25">
      <c r="A24" s="52" t="s">
        <v>52</v>
      </c>
      <c r="B24" s="53" t="s">
        <v>53</v>
      </c>
      <c r="C24" s="54" t="s">
        <v>17</v>
      </c>
      <c r="D24" s="51">
        <v>0</v>
      </c>
      <c r="E24" s="48">
        <f t="shared" si="0"/>
        <v>0</v>
      </c>
      <c r="F24" s="39">
        <f t="shared" si="1"/>
        <v>0</v>
      </c>
      <c r="G24" s="76"/>
      <c r="H24" s="51"/>
      <c r="I24" s="48">
        <f t="shared" si="2"/>
        <v>0</v>
      </c>
      <c r="J24" s="39">
        <f t="shared" si="3"/>
        <v>0</v>
      </c>
      <c r="K24" s="76"/>
      <c r="L24" s="51"/>
      <c r="M24" s="48">
        <f t="shared" si="4"/>
        <v>0</v>
      </c>
      <c r="N24" s="39">
        <f t="shared" si="5"/>
        <v>0</v>
      </c>
      <c r="P24" s="51"/>
      <c r="Q24" s="48">
        <f t="shared" si="6"/>
        <v>0</v>
      </c>
      <c r="R24" s="39">
        <f t="shared" si="7"/>
        <v>0</v>
      </c>
      <c r="T24" s="51"/>
      <c r="U24" s="48">
        <f t="shared" si="8"/>
        <v>0</v>
      </c>
      <c r="V24" s="39">
        <f t="shared" si="9"/>
        <v>0</v>
      </c>
      <c r="W24" s="39"/>
      <c r="X24" s="115">
        <f t="shared" si="10"/>
        <v>0</v>
      </c>
      <c r="Y24" s="115">
        <f t="shared" si="10"/>
        <v>0</v>
      </c>
    </row>
    <row r="25" spans="1:25" ht="43.2">
      <c r="A25" s="45"/>
      <c r="B25" s="49" t="s">
        <v>54</v>
      </c>
      <c r="C25" s="45" t="s">
        <v>55</v>
      </c>
      <c r="D25" s="51">
        <v>0.5</v>
      </c>
      <c r="E25" s="48">
        <f t="shared" si="0"/>
        <v>2.8900000000000002E-3</v>
      </c>
      <c r="F25" s="39">
        <f t="shared" si="1"/>
        <v>2.8559999999999999E-2</v>
      </c>
      <c r="G25" s="76"/>
      <c r="H25" s="51">
        <v>10</v>
      </c>
      <c r="I25" s="48">
        <f t="shared" si="2"/>
        <v>5.7800000000000004E-2</v>
      </c>
      <c r="J25" s="39">
        <f t="shared" si="3"/>
        <v>0.57542400000000005</v>
      </c>
      <c r="K25" s="76"/>
      <c r="L25" s="51">
        <v>10</v>
      </c>
      <c r="M25" s="48">
        <f t="shared" si="4"/>
        <v>5.7800000000000004E-2</v>
      </c>
      <c r="N25" s="39">
        <f t="shared" si="5"/>
        <v>0.57283200000000001</v>
      </c>
      <c r="P25" s="51">
        <v>10</v>
      </c>
      <c r="Q25" s="48">
        <f t="shared" si="6"/>
        <v>5.7800000000000004E-2</v>
      </c>
      <c r="R25" s="39">
        <f t="shared" si="7"/>
        <v>0.57283200000000001</v>
      </c>
      <c r="T25" s="51">
        <v>10</v>
      </c>
      <c r="U25" s="48">
        <f t="shared" si="8"/>
        <v>5.7800000000000004E-2</v>
      </c>
      <c r="V25" s="39">
        <f t="shared" si="9"/>
        <v>0.57358799999999999</v>
      </c>
      <c r="W25" s="39"/>
      <c r="X25" s="115">
        <f t="shared" si="10"/>
        <v>5.7800000000000004E-2</v>
      </c>
      <c r="Y25" s="115">
        <f t="shared" si="10"/>
        <v>0.57542400000000005</v>
      </c>
    </row>
    <row r="26" spans="1:25">
      <c r="A26" s="55"/>
      <c r="B26" s="46" t="s">
        <v>56</v>
      </c>
      <c r="C26" s="56" t="s">
        <v>57</v>
      </c>
      <c r="D26" s="47">
        <v>0.56000000000000005</v>
      </c>
      <c r="E26" s="48">
        <f t="shared" si="0"/>
        <v>3.2368000000000006E-3</v>
      </c>
      <c r="F26" s="39">
        <f t="shared" si="1"/>
        <v>3.1987200000000007E-2</v>
      </c>
      <c r="G26" s="76"/>
      <c r="H26" s="47">
        <v>1</v>
      </c>
      <c r="I26" s="48">
        <f t="shared" si="2"/>
        <v>5.7800000000000004E-3</v>
      </c>
      <c r="J26" s="39">
        <f t="shared" si="3"/>
        <v>5.75424E-2</v>
      </c>
      <c r="K26" s="76"/>
      <c r="L26" s="47">
        <v>1</v>
      </c>
      <c r="M26" s="48">
        <f t="shared" si="4"/>
        <v>5.7800000000000004E-3</v>
      </c>
      <c r="N26" s="39">
        <f t="shared" si="5"/>
        <v>5.7283199999999999E-2</v>
      </c>
      <c r="P26" s="47">
        <v>1</v>
      </c>
      <c r="Q26" s="48">
        <f t="shared" si="6"/>
        <v>5.7800000000000004E-3</v>
      </c>
      <c r="R26" s="39">
        <f t="shared" si="7"/>
        <v>5.7283199999999999E-2</v>
      </c>
      <c r="T26" s="47">
        <v>1</v>
      </c>
      <c r="U26" s="48">
        <f t="shared" si="8"/>
        <v>5.7800000000000004E-3</v>
      </c>
      <c r="V26" s="39">
        <f t="shared" si="9"/>
        <v>5.7358800000000001E-2</v>
      </c>
      <c r="W26" s="39"/>
      <c r="X26" s="115">
        <f t="shared" si="10"/>
        <v>5.7800000000000004E-3</v>
      </c>
      <c r="Y26" s="115">
        <f t="shared" si="10"/>
        <v>5.75424E-2</v>
      </c>
    </row>
    <row r="27" spans="1:25">
      <c r="A27" s="55"/>
      <c r="B27" s="46" t="s">
        <v>58</v>
      </c>
      <c r="C27" s="56" t="s">
        <v>57</v>
      </c>
      <c r="D27" s="51">
        <v>0.84</v>
      </c>
      <c r="E27" s="48">
        <f t="shared" si="0"/>
        <v>4.8551999999999996E-3</v>
      </c>
      <c r="F27" s="39">
        <f t="shared" si="1"/>
        <v>4.7980799999999997E-2</v>
      </c>
      <c r="G27" s="76"/>
      <c r="H27" s="51">
        <v>1</v>
      </c>
      <c r="I27" s="48">
        <f t="shared" si="2"/>
        <v>5.7800000000000004E-3</v>
      </c>
      <c r="J27" s="39">
        <f t="shared" si="3"/>
        <v>5.75424E-2</v>
      </c>
      <c r="K27" s="76"/>
      <c r="L27" s="51">
        <v>1</v>
      </c>
      <c r="M27" s="48">
        <f t="shared" si="4"/>
        <v>5.7800000000000004E-3</v>
      </c>
      <c r="N27" s="39">
        <f t="shared" si="5"/>
        <v>5.7283199999999999E-2</v>
      </c>
      <c r="P27" s="51">
        <v>1</v>
      </c>
      <c r="Q27" s="48">
        <f t="shared" si="6"/>
        <v>5.7800000000000004E-3</v>
      </c>
      <c r="R27" s="39">
        <f t="shared" si="7"/>
        <v>5.7283199999999999E-2</v>
      </c>
      <c r="T27" s="51">
        <v>1</v>
      </c>
      <c r="U27" s="48">
        <f t="shared" si="8"/>
        <v>5.7800000000000004E-3</v>
      </c>
      <c r="V27" s="39">
        <f t="shared" si="9"/>
        <v>5.7358800000000001E-2</v>
      </c>
      <c r="W27" s="39"/>
      <c r="X27" s="115">
        <f t="shared" si="10"/>
        <v>5.7800000000000004E-3</v>
      </c>
      <c r="Y27" s="115">
        <f t="shared" si="10"/>
        <v>5.75424E-2</v>
      </c>
    </row>
    <row r="28" spans="1:25">
      <c r="A28" s="45"/>
      <c r="B28" s="46" t="s">
        <v>59</v>
      </c>
      <c r="C28" s="45" t="s">
        <v>57</v>
      </c>
      <c r="D28" s="51">
        <v>0.84</v>
      </c>
      <c r="E28" s="48">
        <f t="shared" si="0"/>
        <v>4.8551999999999996E-3</v>
      </c>
      <c r="F28" s="39">
        <f t="shared" si="1"/>
        <v>4.7980799999999997E-2</v>
      </c>
      <c r="G28" s="76"/>
      <c r="H28" s="51">
        <v>1</v>
      </c>
      <c r="I28" s="48">
        <f t="shared" si="2"/>
        <v>5.7800000000000004E-3</v>
      </c>
      <c r="J28" s="39">
        <f t="shared" si="3"/>
        <v>5.75424E-2</v>
      </c>
      <c r="K28" s="76"/>
      <c r="L28" s="51">
        <v>1</v>
      </c>
      <c r="M28" s="48">
        <f t="shared" si="4"/>
        <v>5.7800000000000004E-3</v>
      </c>
      <c r="N28" s="39">
        <f t="shared" si="5"/>
        <v>5.7283199999999999E-2</v>
      </c>
      <c r="P28" s="51">
        <v>1</v>
      </c>
      <c r="Q28" s="48">
        <f t="shared" si="6"/>
        <v>5.7800000000000004E-3</v>
      </c>
      <c r="R28" s="39">
        <f t="shared" si="7"/>
        <v>5.7283199999999999E-2</v>
      </c>
      <c r="T28" s="51">
        <v>1</v>
      </c>
      <c r="U28" s="48">
        <f t="shared" si="8"/>
        <v>5.7800000000000004E-3</v>
      </c>
      <c r="V28" s="39">
        <f t="shared" si="9"/>
        <v>5.7358800000000001E-2</v>
      </c>
      <c r="W28" s="39"/>
      <c r="X28" s="115">
        <f t="shared" si="10"/>
        <v>5.7800000000000004E-3</v>
      </c>
      <c r="Y28" s="115">
        <f t="shared" si="10"/>
        <v>5.75424E-2</v>
      </c>
    </row>
    <row r="29" spans="1:25">
      <c r="A29" s="45"/>
      <c r="B29" s="46" t="s">
        <v>60</v>
      </c>
      <c r="C29" s="45" t="s">
        <v>57</v>
      </c>
      <c r="D29" s="47">
        <v>0.84</v>
      </c>
      <c r="E29" s="48">
        <f t="shared" si="0"/>
        <v>4.8551999999999996E-3</v>
      </c>
      <c r="F29" s="39">
        <f t="shared" si="1"/>
        <v>4.7980799999999997E-2</v>
      </c>
      <c r="G29" s="76"/>
      <c r="H29" s="47">
        <v>1</v>
      </c>
      <c r="I29" s="48">
        <f t="shared" si="2"/>
        <v>5.7800000000000004E-3</v>
      </c>
      <c r="J29" s="39">
        <f t="shared" si="3"/>
        <v>5.75424E-2</v>
      </c>
      <c r="K29" s="76"/>
      <c r="L29" s="47">
        <v>1</v>
      </c>
      <c r="M29" s="48">
        <f t="shared" si="4"/>
        <v>5.7800000000000004E-3</v>
      </c>
      <c r="N29" s="39">
        <f t="shared" si="5"/>
        <v>5.7283199999999999E-2</v>
      </c>
      <c r="P29" s="47">
        <v>1</v>
      </c>
      <c r="Q29" s="48">
        <f t="shared" si="6"/>
        <v>5.7800000000000004E-3</v>
      </c>
      <c r="R29" s="39">
        <f t="shared" si="7"/>
        <v>5.7283199999999999E-2</v>
      </c>
      <c r="T29" s="47">
        <v>1</v>
      </c>
      <c r="U29" s="48">
        <f t="shared" si="8"/>
        <v>5.7800000000000004E-3</v>
      </c>
      <c r="V29" s="39">
        <f t="shared" si="9"/>
        <v>5.7358800000000001E-2</v>
      </c>
      <c r="W29" s="39"/>
      <c r="X29" s="115">
        <f t="shared" si="10"/>
        <v>5.7800000000000004E-3</v>
      </c>
      <c r="Y29" s="115">
        <f t="shared" si="10"/>
        <v>5.75424E-2</v>
      </c>
    </row>
    <row r="30" spans="1:25">
      <c r="A30" s="57" t="s">
        <v>63</v>
      </c>
      <c r="B30" s="57" t="s">
        <v>64</v>
      </c>
      <c r="C30" s="60"/>
      <c r="D30" s="61"/>
      <c r="E30" s="60"/>
      <c r="F30" s="66">
        <f>B35</f>
        <v>3202.1015040000002</v>
      </c>
      <c r="G30" s="77"/>
      <c r="H30" s="61"/>
      <c r="I30" s="60"/>
      <c r="J30" s="39">
        <f>I36</f>
        <v>4448.6259609600011</v>
      </c>
      <c r="K30" s="77"/>
      <c r="L30" s="99"/>
      <c r="M30" s="60"/>
      <c r="N30" s="39">
        <f>M36</f>
        <v>4113.7586380800003</v>
      </c>
      <c r="P30" s="99"/>
      <c r="Q30" s="60"/>
      <c r="R30" s="39">
        <f>Q36</f>
        <v>4239.6900249599994</v>
      </c>
      <c r="T30" s="99"/>
      <c r="U30" s="60"/>
      <c r="V30" s="39">
        <f>U36</f>
        <v>4434.4317715200004</v>
      </c>
      <c r="W30" s="39"/>
      <c r="X30" s="115"/>
      <c r="Y30" s="115">
        <f t="shared" ref="Y30" si="11">MAX(F30,J30,N30,R30,V30)</f>
        <v>4448.6259609600011</v>
      </c>
    </row>
    <row r="31" spans="1:25" s="9" customFormat="1">
      <c r="A31" s="87"/>
      <c r="B31" s="79"/>
      <c r="C31" s="80"/>
      <c r="D31" s="80"/>
      <c r="E31" s="80"/>
      <c r="F31" s="88"/>
      <c r="G31" s="80"/>
      <c r="H31" s="92"/>
      <c r="I31" s="80"/>
      <c r="J31" s="80"/>
      <c r="K31" s="80"/>
      <c r="L31" s="92"/>
      <c r="M31" s="80"/>
      <c r="N31" s="80"/>
      <c r="P31" s="92"/>
      <c r="Q31" s="80"/>
      <c r="R31" s="80"/>
      <c r="T31" s="92"/>
      <c r="U31" s="80"/>
      <c r="V31" s="80"/>
      <c r="W31" s="80"/>
      <c r="Y31" s="8"/>
    </row>
    <row r="32" spans="1:25" s="9" customFormat="1">
      <c r="A32" s="35" t="s">
        <v>65</v>
      </c>
      <c r="B32" s="97">
        <v>15.3</v>
      </c>
      <c r="C32" s="60" t="s">
        <v>66</v>
      </c>
      <c r="D32" s="80"/>
      <c r="E32" s="80"/>
      <c r="F32" s="88"/>
      <c r="G32" s="80"/>
      <c r="H32" s="92"/>
      <c r="I32" s="78">
        <f>I2</f>
        <v>57542.400000000001</v>
      </c>
      <c r="J32" s="78" t="s">
        <v>67</v>
      </c>
      <c r="K32" s="80"/>
      <c r="L32" s="92"/>
      <c r="M32" s="78">
        <f>M2</f>
        <v>57283.199999999997</v>
      </c>
      <c r="N32" s="78" t="s">
        <v>67</v>
      </c>
      <c r="P32" s="92"/>
      <c r="Q32" s="78">
        <f>Q2</f>
        <v>57283.199999999997</v>
      </c>
      <c r="R32" s="78" t="s">
        <v>67</v>
      </c>
      <c r="T32" s="92"/>
      <c r="U32" s="78">
        <f>U2</f>
        <v>57358.8</v>
      </c>
      <c r="V32" s="78" t="s">
        <v>67</v>
      </c>
      <c r="W32" s="272"/>
      <c r="Y32" s="8"/>
    </row>
    <row r="33" spans="1:25" s="9" customFormat="1">
      <c r="A33" s="35" t="s">
        <v>68</v>
      </c>
      <c r="B33" s="35">
        <v>1</v>
      </c>
      <c r="C33" s="60"/>
      <c r="D33" s="80"/>
      <c r="E33" s="80"/>
      <c r="F33" s="88"/>
      <c r="G33" s="80"/>
      <c r="H33" s="92"/>
      <c r="I33" s="96">
        <v>21.1</v>
      </c>
      <c r="J33" s="78" t="s">
        <v>66</v>
      </c>
      <c r="K33" s="80"/>
      <c r="L33" s="92"/>
      <c r="M33" s="96">
        <v>19.600000000000001</v>
      </c>
      <c r="N33" s="78" t="s">
        <v>66</v>
      </c>
      <c r="P33" s="92"/>
      <c r="Q33" s="96">
        <v>20.2</v>
      </c>
      <c r="R33" s="78" t="s">
        <v>66</v>
      </c>
      <c r="T33" s="92"/>
      <c r="U33" s="96">
        <v>21.1</v>
      </c>
      <c r="V33" s="78" t="s">
        <v>66</v>
      </c>
      <c r="W33" s="272"/>
      <c r="Y33" s="8"/>
    </row>
    <row r="34" spans="1:25" s="9" customFormat="1">
      <c r="A34" s="35" t="s">
        <v>69</v>
      </c>
      <c r="B34" s="35">
        <f>(E2*B32*B33)/1000</f>
        <v>873.93600000000004</v>
      </c>
      <c r="C34" s="60"/>
      <c r="D34" s="80"/>
      <c r="E34" s="80"/>
      <c r="F34" s="88"/>
      <c r="G34" s="80"/>
      <c r="H34" s="92"/>
      <c r="I34" s="78">
        <v>1</v>
      </c>
      <c r="J34" s="78"/>
      <c r="K34" s="80"/>
      <c r="L34" s="92"/>
      <c r="M34" s="78">
        <v>1</v>
      </c>
      <c r="N34" s="78"/>
      <c r="P34" s="92"/>
      <c r="Q34" s="78">
        <v>1</v>
      </c>
      <c r="R34" s="78"/>
      <c r="T34" s="92"/>
      <c r="U34" s="78">
        <v>1</v>
      </c>
      <c r="V34" s="78"/>
      <c r="W34" s="272"/>
      <c r="Y34" s="8"/>
    </row>
    <row r="35" spans="1:25" s="9" customFormat="1">
      <c r="A35" s="35" t="s">
        <v>70</v>
      </c>
      <c r="B35" s="65">
        <f>B34*3.664</f>
        <v>3202.1015040000002</v>
      </c>
      <c r="C35" s="60" t="s">
        <v>5</v>
      </c>
      <c r="D35" s="80"/>
      <c r="E35" s="80"/>
      <c r="F35" s="88"/>
      <c r="G35" s="80"/>
      <c r="H35" s="92"/>
      <c r="I35" s="78">
        <f>(I2*I33*I34)/1000</f>
        <v>1214.1446400000002</v>
      </c>
      <c r="J35" s="78"/>
      <c r="K35" s="80"/>
      <c r="L35" s="92"/>
      <c r="M35" s="78">
        <f>(M2*M33*M34)/1000</f>
        <v>1122.75072</v>
      </c>
      <c r="N35" s="78"/>
      <c r="P35" s="92"/>
      <c r="Q35" s="78">
        <f>(Q2*Q33*Q34)/1000</f>
        <v>1157.1206399999999</v>
      </c>
      <c r="R35" s="78"/>
      <c r="T35" s="92"/>
      <c r="U35" s="78">
        <f>(U2*U33*U34)/1000</f>
        <v>1210.2706800000001</v>
      </c>
      <c r="V35" s="78"/>
      <c r="W35" s="272"/>
      <c r="Y35" s="8"/>
    </row>
    <row r="36" spans="1:25" s="9" customFormat="1">
      <c r="A36" s="35" t="s">
        <v>71</v>
      </c>
      <c r="B36" s="67">
        <f>[2]Algandmed!O2</f>
        <v>0</v>
      </c>
      <c r="C36" s="59" t="s">
        <v>72</v>
      </c>
      <c r="D36" s="89"/>
      <c r="E36" s="89"/>
      <c r="F36" s="90"/>
      <c r="G36" s="82"/>
      <c r="H36" s="93"/>
      <c r="I36" s="81">
        <f>I35*3.664</f>
        <v>4448.6259609600011</v>
      </c>
      <c r="J36" s="78" t="s">
        <v>5</v>
      </c>
      <c r="K36" s="82"/>
      <c r="L36" s="93"/>
      <c r="M36" s="81">
        <f>M35*3.664</f>
        <v>4113.7586380800003</v>
      </c>
      <c r="N36" s="78" t="s">
        <v>5</v>
      </c>
      <c r="P36" s="93"/>
      <c r="Q36" s="81">
        <f>Q35*3.664</f>
        <v>4239.6900249599994</v>
      </c>
      <c r="R36" s="78" t="s">
        <v>5</v>
      </c>
      <c r="T36" s="93"/>
      <c r="U36" s="81">
        <f>U35*3.664</f>
        <v>4434.4317715200004</v>
      </c>
      <c r="V36" s="78" t="s">
        <v>5</v>
      </c>
      <c r="W36" s="272"/>
      <c r="Y36" s="8"/>
    </row>
    <row r="37" spans="1:25" s="9" customFormat="1">
      <c r="A37" s="68"/>
      <c r="B37" s="69"/>
      <c r="C37" s="18"/>
      <c r="D37" s="18"/>
      <c r="E37" s="18"/>
      <c r="F37" s="18"/>
      <c r="G37" s="82"/>
      <c r="H37" s="94" t="s">
        <v>74</v>
      </c>
      <c r="I37" s="85">
        <f>0.02*I4*Algandmed!I6</f>
        <v>23.680000000000003</v>
      </c>
      <c r="J37" s="86" t="s">
        <v>5</v>
      </c>
      <c r="K37" s="82"/>
      <c r="L37" s="94" t="s">
        <v>74</v>
      </c>
      <c r="M37" s="85">
        <f>0.02*M4*Algandmed!I7</f>
        <v>2.72</v>
      </c>
      <c r="N37" s="86" t="s">
        <v>5</v>
      </c>
      <c r="P37" s="94" t="s">
        <v>74</v>
      </c>
      <c r="Q37" s="85">
        <f>0.02*Q4*Algandmed!I8</f>
        <v>2.7199999999999998E-2</v>
      </c>
      <c r="R37" s="86" t="s">
        <v>5</v>
      </c>
      <c r="T37" s="94" t="s">
        <v>74</v>
      </c>
      <c r="U37" s="85">
        <f>0.02*U4*Algandmed!I9</f>
        <v>2.8200000000000003</v>
      </c>
      <c r="V37" s="86" t="s">
        <v>5</v>
      </c>
      <c r="W37" s="273"/>
      <c r="Y37" s="8"/>
    </row>
    <row r="38" spans="1:25" s="9" customFormat="1">
      <c r="A38" s="68"/>
      <c r="B38" s="69"/>
      <c r="C38" s="18"/>
      <c r="D38" s="18"/>
      <c r="E38" s="18"/>
      <c r="F38" s="18"/>
      <c r="G38" s="82"/>
      <c r="H38" s="95" t="s">
        <v>74</v>
      </c>
      <c r="I38" s="85">
        <f>20*I3*Algandmed!I6/I5</f>
        <v>2.378600823045268</v>
      </c>
      <c r="J38" s="86" t="s">
        <v>75</v>
      </c>
      <c r="K38" s="89"/>
      <c r="L38" s="95" t="s">
        <v>74</v>
      </c>
      <c r="M38" s="85">
        <f>20*M3*Algandmed!I7/M5</f>
        <v>0.27445394112060784</v>
      </c>
      <c r="N38" s="86" t="s">
        <v>75</v>
      </c>
      <c r="P38" s="95" t="s">
        <v>74</v>
      </c>
      <c r="Q38" s="85">
        <f>20*Q3*Algandmed!I8/Q5</f>
        <v>2.7445394112060781E-3</v>
      </c>
      <c r="R38" s="86" t="s">
        <v>75</v>
      </c>
      <c r="T38" s="95" t="s">
        <v>74</v>
      </c>
      <c r="U38" s="85">
        <f>20*U3*Algandmed!I9/U5</f>
        <v>0.28416912487708956</v>
      </c>
      <c r="V38" s="86" t="s">
        <v>75</v>
      </c>
      <c r="W38" s="273"/>
      <c r="Y38" s="8"/>
    </row>
    <row r="39" spans="1:25" s="9" customFormat="1">
      <c r="A39" s="7"/>
      <c r="B39" s="7"/>
      <c r="C39" s="18"/>
      <c r="D39" s="18"/>
      <c r="E39" s="18"/>
      <c r="F39" s="18"/>
      <c r="G39" s="82"/>
      <c r="H39" s="82"/>
      <c r="I39" s="82"/>
      <c r="J39" s="82"/>
      <c r="K39" s="82"/>
      <c r="Y39" s="8"/>
    </row>
    <row r="40" spans="1:25" s="9" customFormat="1">
      <c r="A40" s="7"/>
      <c r="B40" s="7"/>
      <c r="C40" s="7"/>
      <c r="D40" s="7"/>
      <c r="E40" s="7"/>
      <c r="F40" s="7"/>
      <c r="Y40" s="8"/>
    </row>
    <row r="41" spans="1:25" s="9" customFormat="1">
      <c r="A41" s="7"/>
      <c r="B41" s="7"/>
      <c r="C41" s="7"/>
      <c r="D41" s="7"/>
      <c r="E41" s="7"/>
      <c r="F41" s="7"/>
      <c r="Y41" s="8"/>
    </row>
    <row r="42" spans="1:25" s="9" customFormat="1">
      <c r="A42" s="7"/>
      <c r="B42" s="7"/>
      <c r="C42" s="7"/>
      <c r="D42" s="7"/>
      <c r="E42" s="7"/>
      <c r="F42" s="7"/>
      <c r="Y42" s="8"/>
    </row>
    <row r="43" spans="1:25" s="9" customFormat="1">
      <c r="A43" s="7"/>
      <c r="B43" s="7"/>
      <c r="C43" s="7"/>
      <c r="D43" s="7"/>
      <c r="E43" s="7"/>
      <c r="F43" s="7"/>
      <c r="Y43" s="8"/>
    </row>
    <row r="44" spans="1:25" s="9" customFormat="1">
      <c r="A44" s="7"/>
      <c r="B44" s="7"/>
      <c r="C44" s="7"/>
      <c r="D44" s="7"/>
      <c r="E44" s="7"/>
      <c r="F44" s="7"/>
      <c r="Y44" s="8"/>
    </row>
    <row r="45" spans="1:25" s="9" customFormat="1">
      <c r="A45" s="8"/>
      <c r="B45" s="8"/>
      <c r="C45" s="8"/>
      <c r="D45" s="8"/>
      <c r="E45" s="8"/>
      <c r="F45" s="8"/>
      <c r="Y45" s="8"/>
    </row>
  </sheetData>
  <mergeCells count="14">
    <mergeCell ref="A3:C3"/>
    <mergeCell ref="A4:C4"/>
    <mergeCell ref="X4:Y5"/>
    <mergeCell ref="A5:C5"/>
    <mergeCell ref="D1:F1"/>
    <mergeCell ref="H1:J1"/>
    <mergeCell ref="L1:N1"/>
    <mergeCell ref="P1:R1"/>
    <mergeCell ref="T1:V1"/>
    <mergeCell ref="D2:D5"/>
    <mergeCell ref="H2:H5"/>
    <mergeCell ref="L2:L5"/>
    <mergeCell ref="P2:P5"/>
    <mergeCell ref="T2:T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topLeftCell="A7" zoomScale="89" zoomScaleNormal="89" workbookViewId="0">
      <selection activeCell="T29" sqref="T29"/>
    </sheetView>
  </sheetViews>
  <sheetFormatPr defaultRowHeight="14.4"/>
  <cols>
    <col min="1" max="1" width="20.5546875" style="8" customWidth="1"/>
    <col min="2" max="2" width="31.44140625" style="8" customWidth="1"/>
    <col min="3" max="3" width="15.5546875" style="8" customWidth="1"/>
    <col min="4" max="6" width="14.33203125" style="8" customWidth="1"/>
    <col min="7" max="7" width="15.33203125" style="8" customWidth="1"/>
    <col min="8" max="8" width="16.6640625" style="8" customWidth="1"/>
    <col min="9" max="9" width="21.44140625" style="8" customWidth="1"/>
    <col min="10" max="10" width="16.6640625" style="8" customWidth="1"/>
    <col min="11" max="11" width="19.33203125" style="9" customWidth="1"/>
    <col min="12" max="13" width="12.5546875" style="9" customWidth="1"/>
    <col min="14" max="14" width="13" style="9" customWidth="1"/>
    <col min="15" max="16" width="11.5546875" style="9" customWidth="1"/>
    <col min="17" max="18" width="20" style="9" customWidth="1"/>
    <col min="19" max="22" width="15.33203125" style="9" customWidth="1"/>
    <col min="23" max="24" width="15.33203125" style="8" customWidth="1"/>
    <col min="25" max="16384" width="8.88671875" style="8"/>
  </cols>
  <sheetData>
    <row r="1" spans="1:25" ht="14.4" customHeight="1">
      <c r="A1" s="3"/>
      <c r="B1" s="4"/>
      <c r="C1" s="5"/>
      <c r="D1" s="372" t="str">
        <f>[3]Algandmed!D2</f>
        <v>Puiduhake</v>
      </c>
      <c r="E1" s="372"/>
      <c r="F1" s="373"/>
      <c r="G1" s="6"/>
      <c r="H1" s="393" t="str">
        <f>[3]Algandmed!D3</f>
        <v>Tükkturvas</v>
      </c>
      <c r="I1" s="393"/>
      <c r="J1" s="393"/>
      <c r="K1" s="2"/>
      <c r="L1" s="2"/>
      <c r="M1" s="2"/>
      <c r="R1" s="2"/>
      <c r="S1" s="2"/>
    </row>
    <row r="2" spans="1:25" ht="14.4" customHeight="1">
      <c r="A2" s="23"/>
      <c r="B2" s="9"/>
      <c r="C2" s="24"/>
      <c r="D2" s="375" t="s">
        <v>0</v>
      </c>
      <c r="E2" s="25">
        <f>E4*E5</f>
        <v>196665</v>
      </c>
      <c r="F2" s="26" t="s">
        <v>1</v>
      </c>
      <c r="G2" s="7"/>
      <c r="H2" s="375" t="s">
        <v>0</v>
      </c>
      <c r="I2" s="27">
        <f>I4*I5</f>
        <v>166733.28</v>
      </c>
      <c r="J2" s="28" t="s">
        <v>1</v>
      </c>
      <c r="L2" s="398" t="s">
        <v>213</v>
      </c>
      <c r="M2" s="399"/>
      <c r="O2" s="396" t="s">
        <v>215</v>
      </c>
      <c r="P2" s="397"/>
      <c r="Q2" s="116"/>
    </row>
    <row r="3" spans="1:25" ht="14.4" customHeight="1">
      <c r="A3" s="378" t="s">
        <v>2</v>
      </c>
      <c r="B3" s="378"/>
      <c r="C3" s="378"/>
      <c r="D3" s="376"/>
      <c r="E3" s="29">
        <f>Algandmed!C17</f>
        <v>6</v>
      </c>
      <c r="F3" s="30" t="s">
        <v>3</v>
      </c>
      <c r="G3" s="7"/>
      <c r="H3" s="376"/>
      <c r="I3" s="31">
        <f>E3</f>
        <v>6</v>
      </c>
      <c r="J3" s="30" t="s">
        <v>3</v>
      </c>
      <c r="L3" s="399"/>
      <c r="M3" s="399"/>
      <c r="O3" s="397"/>
      <c r="P3" s="397"/>
      <c r="Q3" s="116"/>
    </row>
    <row r="4" spans="1:25">
      <c r="A4" s="379" t="s">
        <v>81</v>
      </c>
      <c r="B4" s="379"/>
      <c r="C4" s="379"/>
      <c r="D4" s="376"/>
      <c r="E4" s="32">
        <f>Algandmed!F17</f>
        <v>18730</v>
      </c>
      <c r="F4" s="30" t="s">
        <v>5</v>
      </c>
      <c r="G4" s="7"/>
      <c r="H4" s="376"/>
      <c r="I4" s="32">
        <f>Algandmed!F18</f>
        <v>13622</v>
      </c>
      <c r="J4" s="30" t="s">
        <v>5</v>
      </c>
      <c r="L4" s="399"/>
      <c r="M4" s="399"/>
      <c r="O4" s="397"/>
      <c r="P4" s="397"/>
      <c r="Q4" s="116"/>
    </row>
    <row r="5" spans="1:25">
      <c r="A5" s="366" t="s">
        <v>7</v>
      </c>
      <c r="B5" s="366"/>
      <c r="C5" s="367"/>
      <c r="D5" s="377"/>
      <c r="E5" s="33">
        <f>Algandmed!H17</f>
        <v>10.5</v>
      </c>
      <c r="F5" s="29" t="s">
        <v>8</v>
      </c>
      <c r="G5" s="7"/>
      <c r="H5" s="377"/>
      <c r="I5" s="33">
        <f>Algandmed!H18</f>
        <v>12.24</v>
      </c>
      <c r="J5" s="29" t="s">
        <v>8</v>
      </c>
      <c r="L5" s="399"/>
      <c r="M5" s="399"/>
      <c r="O5" s="397"/>
      <c r="P5" s="397"/>
      <c r="Q5" s="116"/>
    </row>
    <row r="6" spans="1:25" ht="72">
      <c r="A6" s="27" t="s">
        <v>9</v>
      </c>
      <c r="B6" s="34" t="s">
        <v>10</v>
      </c>
      <c r="C6" s="34" t="s">
        <v>11</v>
      </c>
      <c r="D6" s="30" t="s">
        <v>12</v>
      </c>
      <c r="E6" s="30" t="s">
        <v>13</v>
      </c>
      <c r="F6" s="30" t="s">
        <v>14</v>
      </c>
      <c r="G6" s="7"/>
      <c r="H6" s="30" t="s">
        <v>12</v>
      </c>
      <c r="I6" s="30" t="s">
        <v>13</v>
      </c>
      <c r="J6" s="30" t="s">
        <v>14</v>
      </c>
      <c r="K6" s="12"/>
      <c r="L6" s="30" t="s">
        <v>13</v>
      </c>
      <c r="M6" s="30" t="s">
        <v>14</v>
      </c>
      <c r="O6" s="30" t="s">
        <v>13</v>
      </c>
      <c r="P6" s="30" t="s">
        <v>14</v>
      </c>
      <c r="Q6" s="11"/>
      <c r="R6" s="12"/>
      <c r="S6" s="12"/>
      <c r="V6" s="12"/>
    </row>
    <row r="7" spans="1:25">
      <c r="A7" s="35" t="s">
        <v>15</v>
      </c>
      <c r="B7" s="36" t="s">
        <v>16</v>
      </c>
      <c r="C7" s="30" t="s">
        <v>17</v>
      </c>
      <c r="D7" s="51">
        <v>210</v>
      </c>
      <c r="E7" s="38">
        <f>$E$3*D7/1000</f>
        <v>1.26</v>
      </c>
      <c r="F7" s="39">
        <f t="shared" ref="F7:F13" si="0">D7*$E$2/1000000</f>
        <v>41.29965</v>
      </c>
      <c r="G7" s="18"/>
      <c r="H7" s="37">
        <v>281</v>
      </c>
      <c r="I7" s="38">
        <f>$I$3*H7/1000</f>
        <v>1.6859999999999999</v>
      </c>
      <c r="J7" s="39">
        <f>H7*$I$2/1000000</f>
        <v>46.852051680000002</v>
      </c>
      <c r="L7" s="108">
        <f>IF(E7&lt;I7,I7,E7)</f>
        <v>1.6859999999999999</v>
      </c>
      <c r="M7" s="75">
        <f>IF(F7&lt;J7,J7,F7)</f>
        <v>46.852051680000002</v>
      </c>
      <c r="O7" s="119">
        <f t="shared" ref="O7:O30" si="1">L7</f>
        <v>1.6859999999999999</v>
      </c>
      <c r="P7" s="115">
        <f t="shared" ref="P7:P31" si="2">M7</f>
        <v>46.852051680000002</v>
      </c>
      <c r="Q7" s="19"/>
      <c r="V7" s="19"/>
      <c r="W7" s="9"/>
      <c r="X7" s="9"/>
      <c r="Y7" s="9"/>
    </row>
    <row r="8" spans="1:25">
      <c r="A8" s="35" t="s">
        <v>18</v>
      </c>
      <c r="B8" s="36" t="s">
        <v>19</v>
      </c>
      <c r="C8" s="30" t="s">
        <v>17</v>
      </c>
      <c r="D8" s="51">
        <v>1200</v>
      </c>
      <c r="E8" s="38">
        <f t="shared" ref="E8:E13" si="3">$E$3*D8/1000</f>
        <v>7.2</v>
      </c>
      <c r="F8" s="39">
        <f t="shared" si="0"/>
        <v>235.99799999999999</v>
      </c>
      <c r="G8" s="18"/>
      <c r="H8" s="37">
        <v>1200</v>
      </c>
      <c r="I8" s="38">
        <f>$I$3*H8/1000</f>
        <v>7.2</v>
      </c>
      <c r="J8" s="39">
        <f>H8*$I$2/1000000</f>
        <v>200.079936</v>
      </c>
      <c r="L8" s="108">
        <f t="shared" ref="L8:L29" si="4">IF(E8&lt;I8,I8,E8)</f>
        <v>7.2</v>
      </c>
      <c r="M8" s="75">
        <f t="shared" ref="M8:M31" si="5">IF(F8&lt;J8,J8,F8)</f>
        <v>235.99799999999999</v>
      </c>
      <c r="O8" s="119">
        <f t="shared" si="1"/>
        <v>7.2</v>
      </c>
      <c r="P8" s="115">
        <f t="shared" si="2"/>
        <v>235.99799999999999</v>
      </c>
      <c r="Q8" s="19"/>
      <c r="V8" s="19"/>
      <c r="W8" s="9"/>
      <c r="X8" s="9"/>
      <c r="Y8" s="9"/>
    </row>
    <row r="9" spans="1:25">
      <c r="A9" s="40" t="s">
        <v>20</v>
      </c>
      <c r="B9" s="36" t="s">
        <v>21</v>
      </c>
      <c r="C9" s="30" t="s">
        <v>17</v>
      </c>
      <c r="D9" s="51">
        <v>17</v>
      </c>
      <c r="E9" s="38">
        <f t="shared" si="3"/>
        <v>0.10199999999999999</v>
      </c>
      <c r="F9" s="39">
        <f t="shared" si="0"/>
        <v>3.343305</v>
      </c>
      <c r="G9" s="18"/>
      <c r="H9" s="37">
        <v>20</v>
      </c>
      <c r="I9" s="38">
        <f>$I$3*H9/1000</f>
        <v>0.12</v>
      </c>
      <c r="J9" s="39">
        <f>H9*$I$2/1000000</f>
        <v>3.3346656000000001</v>
      </c>
      <c r="L9" s="108">
        <f t="shared" si="4"/>
        <v>0.12</v>
      </c>
      <c r="M9" s="75">
        <f t="shared" si="5"/>
        <v>3.343305</v>
      </c>
      <c r="O9" s="119">
        <f t="shared" si="1"/>
        <v>0.12</v>
      </c>
      <c r="P9" s="115">
        <f t="shared" si="2"/>
        <v>3.343305</v>
      </c>
      <c r="Q9" s="19"/>
      <c r="R9" s="294"/>
      <c r="S9" s="294"/>
      <c r="T9" s="294"/>
      <c r="U9" s="295"/>
      <c r="V9" s="295"/>
      <c r="W9" s="295"/>
      <c r="X9" s="295"/>
      <c r="Y9" s="9"/>
    </row>
    <row r="10" spans="1:25" ht="14.4" customHeight="1">
      <c r="A10" s="41" t="s">
        <v>22</v>
      </c>
      <c r="B10" s="36" t="s">
        <v>23</v>
      </c>
      <c r="C10" s="30" t="s">
        <v>17</v>
      </c>
      <c r="D10" s="51">
        <v>11</v>
      </c>
      <c r="E10" s="38">
        <f t="shared" si="3"/>
        <v>6.6000000000000003E-2</v>
      </c>
      <c r="F10" s="39">
        <f t="shared" si="0"/>
        <v>2.1633149999999999</v>
      </c>
      <c r="G10" s="18"/>
      <c r="H10" s="37"/>
      <c r="I10" s="38">
        <f>I39</f>
        <v>3.4313725490196076</v>
      </c>
      <c r="J10" s="39">
        <f>I38</f>
        <v>95.353999999999999</v>
      </c>
      <c r="L10" s="108">
        <f t="shared" si="4"/>
        <v>3.4313725490196076</v>
      </c>
      <c r="M10" s="75">
        <f t="shared" si="5"/>
        <v>95.353999999999999</v>
      </c>
      <c r="O10" s="119">
        <f t="shared" si="1"/>
        <v>3.4313725490196076</v>
      </c>
      <c r="P10" s="115">
        <f t="shared" si="2"/>
        <v>95.353999999999999</v>
      </c>
      <c r="Q10" s="19"/>
      <c r="R10" s="294"/>
      <c r="S10" s="294"/>
      <c r="T10" s="294"/>
      <c r="U10" s="295"/>
      <c r="V10" s="295"/>
      <c r="W10" s="295"/>
      <c r="X10" s="295"/>
      <c r="Y10" s="9"/>
    </row>
    <row r="11" spans="1:25" s="476" customFormat="1">
      <c r="A11" s="20" t="s">
        <v>24</v>
      </c>
      <c r="B11" s="13" t="s">
        <v>25</v>
      </c>
      <c r="C11" s="10" t="s">
        <v>17</v>
      </c>
      <c r="D11" s="276">
        <v>145</v>
      </c>
      <c r="E11" s="15">
        <f t="shared" si="3"/>
        <v>0.87</v>
      </c>
      <c r="F11" s="16">
        <f t="shared" si="0"/>
        <v>28.516425000000002</v>
      </c>
      <c r="G11" s="17"/>
      <c r="H11" s="14">
        <v>283</v>
      </c>
      <c r="I11" s="15">
        <f>$I$3*H11/1000</f>
        <v>1.698</v>
      </c>
      <c r="J11" s="16">
        <f>H11*$I$2/1000000</f>
        <v>47.18551824</v>
      </c>
      <c r="K11" s="474"/>
      <c r="L11" s="117">
        <f t="shared" si="4"/>
        <v>1.698</v>
      </c>
      <c r="M11" s="118">
        <f t="shared" si="5"/>
        <v>47.18551824</v>
      </c>
      <c r="N11" s="474"/>
      <c r="O11" s="117">
        <f>Q51</f>
        <v>0.88800000000000001</v>
      </c>
      <c r="P11" s="118">
        <f>R51</f>
        <v>24.676525440000002</v>
      </c>
      <c r="Q11" s="475"/>
      <c r="R11" s="477"/>
      <c r="S11" s="477"/>
      <c r="T11" s="477"/>
      <c r="U11" s="478"/>
      <c r="V11" s="479"/>
      <c r="W11" s="480"/>
      <c r="X11" s="480"/>
      <c r="Y11" s="474"/>
    </row>
    <row r="12" spans="1:25" s="476" customFormat="1">
      <c r="A12" s="21" t="s">
        <v>26</v>
      </c>
      <c r="B12" s="13" t="s">
        <v>27</v>
      </c>
      <c r="C12" s="10" t="s">
        <v>17</v>
      </c>
      <c r="D12" s="276">
        <v>118</v>
      </c>
      <c r="E12" s="15">
        <f t="shared" si="3"/>
        <v>0.70799999999999996</v>
      </c>
      <c r="F12" s="16">
        <f t="shared" si="0"/>
        <v>23.206469999999999</v>
      </c>
      <c r="G12" s="17"/>
      <c r="H12" s="14">
        <v>148</v>
      </c>
      <c r="I12" s="15">
        <f>$I$3*H12/1000</f>
        <v>0.88800000000000001</v>
      </c>
      <c r="J12" s="16">
        <f>H12*$I$2/1000000</f>
        <v>24.676525440000002</v>
      </c>
      <c r="K12" s="474"/>
      <c r="L12" s="117">
        <f t="shared" si="4"/>
        <v>0.88800000000000001</v>
      </c>
      <c r="M12" s="118">
        <f t="shared" si="5"/>
        <v>24.676525440000002</v>
      </c>
      <c r="N12" s="474"/>
      <c r="O12" s="117">
        <f t="shared" ref="O12:O13" si="6">Q52</f>
        <v>0.88800000000000001</v>
      </c>
      <c r="P12" s="118">
        <f t="shared" ref="P12:P13" si="7">R52</f>
        <v>24.676525440000002</v>
      </c>
      <c r="Q12" s="475"/>
      <c r="R12" s="477"/>
      <c r="S12" s="477"/>
      <c r="T12" s="477"/>
      <c r="U12" s="481"/>
      <c r="V12" s="479"/>
      <c r="W12" s="480"/>
      <c r="X12" s="480"/>
      <c r="Y12" s="474"/>
    </row>
    <row r="13" spans="1:25" s="476" customFormat="1" ht="18" customHeight="1">
      <c r="A13" s="21" t="s">
        <v>28</v>
      </c>
      <c r="B13" s="13" t="s">
        <v>29</v>
      </c>
      <c r="C13" s="10" t="s">
        <v>17</v>
      </c>
      <c r="D13" s="276">
        <v>115</v>
      </c>
      <c r="E13" s="15">
        <f t="shared" si="3"/>
        <v>0.69</v>
      </c>
      <c r="F13" s="16">
        <f t="shared" si="0"/>
        <v>22.616475000000001</v>
      </c>
      <c r="G13" s="17"/>
      <c r="H13" s="14">
        <v>146</v>
      </c>
      <c r="I13" s="15">
        <f>$I$3*H13/1000</f>
        <v>0.876</v>
      </c>
      <c r="J13" s="16">
        <f>H13*$I$2/1000000</f>
        <v>24.343058879999997</v>
      </c>
      <c r="K13" s="474"/>
      <c r="L13" s="117">
        <f t="shared" si="4"/>
        <v>0.876</v>
      </c>
      <c r="M13" s="118">
        <f t="shared" si="5"/>
        <v>24.343058879999997</v>
      </c>
      <c r="N13" s="474"/>
      <c r="O13" s="117">
        <f t="shared" si="6"/>
        <v>0.876</v>
      </c>
      <c r="P13" s="118">
        <f t="shared" si="7"/>
        <v>24.343058879999997</v>
      </c>
      <c r="Q13" s="475"/>
      <c r="R13" s="477"/>
      <c r="S13" s="477"/>
      <c r="T13" s="477"/>
      <c r="U13" s="478"/>
      <c r="V13" s="479"/>
      <c r="W13" s="480"/>
      <c r="X13" s="480"/>
      <c r="Y13" s="474"/>
    </row>
    <row r="14" spans="1:25">
      <c r="A14" s="43" t="s">
        <v>30</v>
      </c>
      <c r="B14" s="36" t="s">
        <v>31</v>
      </c>
      <c r="C14" s="30" t="s">
        <v>32</v>
      </c>
      <c r="D14" s="101">
        <v>15</v>
      </c>
      <c r="E14" s="38">
        <f>E13*F14/100</f>
        <v>2.3408051625000002E-2</v>
      </c>
      <c r="F14" s="39">
        <f>F13*D14/100</f>
        <v>3.3924712500000003</v>
      </c>
      <c r="G14" s="18"/>
      <c r="H14" s="44">
        <v>6.4</v>
      </c>
      <c r="I14" s="38">
        <f>I13*J14/100</f>
        <v>1.36476925304832E-2</v>
      </c>
      <c r="J14" s="39">
        <f>J13*H14/100</f>
        <v>1.55795576832</v>
      </c>
      <c r="L14" s="108">
        <f t="shared" si="4"/>
        <v>2.3408051625000002E-2</v>
      </c>
      <c r="M14" s="75">
        <f t="shared" si="5"/>
        <v>3.3924712500000003</v>
      </c>
      <c r="O14" s="119">
        <f t="shared" si="1"/>
        <v>2.3408051625000002E-2</v>
      </c>
      <c r="P14" s="115">
        <f t="shared" si="2"/>
        <v>3.3924712500000003</v>
      </c>
      <c r="Q14" s="19"/>
      <c r="V14" s="19"/>
      <c r="W14" s="9"/>
      <c r="X14" s="9"/>
      <c r="Y14" s="9"/>
    </row>
    <row r="15" spans="1:25">
      <c r="A15" s="45" t="s">
        <v>33</v>
      </c>
      <c r="B15" s="46" t="s">
        <v>34</v>
      </c>
      <c r="C15" s="45" t="s">
        <v>35</v>
      </c>
      <c r="D15" s="47">
        <v>27</v>
      </c>
      <c r="E15" s="48">
        <f t="shared" ref="E15:E29" si="8">$E$3*D15/1000</f>
        <v>0.16200000000000001</v>
      </c>
      <c r="F15" s="39">
        <f t="shared" ref="F15:F29" si="9">D15*$E$2/1000000</f>
        <v>5.3099550000000004</v>
      </c>
      <c r="G15" s="18"/>
      <c r="H15" s="47">
        <v>100</v>
      </c>
      <c r="I15" s="38">
        <f t="shared" ref="I15:I23" si="10">$I$3*H15/1000</f>
        <v>0.6</v>
      </c>
      <c r="J15" s="39">
        <f t="shared" ref="J15:J23" si="11">H15*$I$2/1000000</f>
        <v>16.673328000000001</v>
      </c>
      <c r="L15" s="108">
        <f t="shared" si="4"/>
        <v>0.6</v>
      </c>
      <c r="M15" s="75">
        <f t="shared" si="5"/>
        <v>16.673328000000001</v>
      </c>
      <c r="O15" s="119">
        <f>Q58</f>
        <v>0.14399999999999996</v>
      </c>
      <c r="P15" s="115">
        <f>R58</f>
        <v>4.0015987200000005</v>
      </c>
      <c r="Q15" s="19"/>
      <c r="V15" s="19"/>
      <c r="W15" s="9"/>
      <c r="X15" s="9"/>
      <c r="Y15" s="9"/>
    </row>
    <row r="16" spans="1:25">
      <c r="A16" s="45" t="s">
        <v>36</v>
      </c>
      <c r="B16" s="49" t="s">
        <v>37</v>
      </c>
      <c r="C16" s="50" t="s">
        <v>35</v>
      </c>
      <c r="D16" s="51">
        <v>13</v>
      </c>
      <c r="E16" s="48">
        <f t="shared" si="8"/>
        <v>7.8E-2</v>
      </c>
      <c r="F16" s="39">
        <f t="shared" si="9"/>
        <v>2.5566450000000001</v>
      </c>
      <c r="G16" s="18"/>
      <c r="H16" s="51">
        <v>1</v>
      </c>
      <c r="I16" s="38">
        <f t="shared" si="10"/>
        <v>6.0000000000000001E-3</v>
      </c>
      <c r="J16" s="39">
        <f t="shared" si="11"/>
        <v>0.16673328000000001</v>
      </c>
      <c r="L16" s="108">
        <f t="shared" si="4"/>
        <v>7.8E-2</v>
      </c>
      <c r="M16" s="75">
        <f t="shared" si="5"/>
        <v>2.5566450000000001</v>
      </c>
      <c r="O16" s="119">
        <f t="shared" si="1"/>
        <v>7.8E-2</v>
      </c>
      <c r="P16" s="115">
        <f t="shared" si="2"/>
        <v>2.5566450000000001</v>
      </c>
      <c r="Q16" s="19"/>
      <c r="V16" s="19"/>
      <c r="W16" s="9"/>
      <c r="X16" s="9"/>
      <c r="Y16" s="9"/>
    </row>
    <row r="17" spans="1:22">
      <c r="A17" s="45" t="s">
        <v>38</v>
      </c>
      <c r="B17" s="49" t="s">
        <v>39</v>
      </c>
      <c r="C17" s="50" t="s">
        <v>35</v>
      </c>
      <c r="D17" s="51">
        <v>0.56000000000000005</v>
      </c>
      <c r="E17" s="48">
        <f t="shared" si="8"/>
        <v>3.3600000000000001E-3</v>
      </c>
      <c r="F17" s="39">
        <f t="shared" si="9"/>
        <v>0.11013240000000001</v>
      </c>
      <c r="G17" s="18"/>
      <c r="H17" s="51">
        <v>9</v>
      </c>
      <c r="I17" s="38">
        <f t="shared" si="10"/>
        <v>5.3999999999999999E-2</v>
      </c>
      <c r="J17" s="39">
        <f t="shared" si="11"/>
        <v>1.50059952</v>
      </c>
      <c r="L17" s="108">
        <f t="shared" si="4"/>
        <v>5.3999999999999999E-2</v>
      </c>
      <c r="M17" s="75">
        <f t="shared" si="5"/>
        <v>1.50059952</v>
      </c>
      <c r="O17" s="119">
        <f t="shared" si="1"/>
        <v>5.3999999999999999E-2</v>
      </c>
      <c r="P17" s="115">
        <f t="shared" si="2"/>
        <v>1.50059952</v>
      </c>
      <c r="Q17" s="19"/>
      <c r="V17" s="19"/>
    </row>
    <row r="18" spans="1:22">
      <c r="A18" s="45" t="s">
        <v>40</v>
      </c>
      <c r="B18" s="49" t="s">
        <v>41</v>
      </c>
      <c r="C18" s="50" t="s">
        <v>35</v>
      </c>
      <c r="D18" s="51">
        <v>1</v>
      </c>
      <c r="E18" s="48">
        <f t="shared" si="8"/>
        <v>6.0000000000000001E-3</v>
      </c>
      <c r="F18" s="39">
        <f t="shared" si="9"/>
        <v>0.19666500000000001</v>
      </c>
      <c r="G18" s="18"/>
      <c r="H18" s="51">
        <v>4</v>
      </c>
      <c r="I18" s="38">
        <f t="shared" si="10"/>
        <v>2.4E-2</v>
      </c>
      <c r="J18" s="39">
        <f t="shared" si="11"/>
        <v>0.66693312000000005</v>
      </c>
      <c r="L18" s="108">
        <f t="shared" si="4"/>
        <v>2.4E-2</v>
      </c>
      <c r="M18" s="75">
        <f t="shared" si="5"/>
        <v>0.66693312000000005</v>
      </c>
      <c r="O18" s="119">
        <f>Q60</f>
        <v>5.7600000000000012E-3</v>
      </c>
      <c r="P18" s="115">
        <f>R60</f>
        <v>0.16006394879999997</v>
      </c>
      <c r="Q18" s="19"/>
      <c r="V18" s="19"/>
    </row>
    <row r="19" spans="1:22">
      <c r="A19" s="45" t="s">
        <v>42</v>
      </c>
      <c r="B19" s="49" t="s">
        <v>43</v>
      </c>
      <c r="C19" s="50" t="s">
        <v>35</v>
      </c>
      <c r="D19" s="51">
        <v>23</v>
      </c>
      <c r="E19" s="48">
        <f t="shared" si="8"/>
        <v>0.13800000000000001</v>
      </c>
      <c r="F19" s="39">
        <f t="shared" si="9"/>
        <v>4.5232950000000001</v>
      </c>
      <c r="G19" s="18"/>
      <c r="H19" s="51">
        <v>20</v>
      </c>
      <c r="I19" s="38">
        <f t="shared" si="10"/>
        <v>0.12</v>
      </c>
      <c r="J19" s="39">
        <f t="shared" si="11"/>
        <v>3.3346656000000001</v>
      </c>
      <c r="L19" s="108">
        <f t="shared" si="4"/>
        <v>0.13800000000000001</v>
      </c>
      <c r="M19" s="75">
        <f t="shared" si="5"/>
        <v>4.5232950000000001</v>
      </c>
      <c r="O19" s="119">
        <f>Q59</f>
        <v>3.3119999999999997E-2</v>
      </c>
      <c r="P19" s="115">
        <f>R59</f>
        <v>1.0855907999999999</v>
      </c>
      <c r="Q19" s="19"/>
      <c r="V19" s="19"/>
    </row>
    <row r="20" spans="1:22" s="476" customFormat="1">
      <c r="A20" s="470" t="s">
        <v>44</v>
      </c>
      <c r="B20" s="471" t="s">
        <v>45</v>
      </c>
      <c r="C20" s="472" t="s">
        <v>35</v>
      </c>
      <c r="D20" s="276">
        <v>20</v>
      </c>
      <c r="E20" s="473">
        <f t="shared" si="8"/>
        <v>0.12</v>
      </c>
      <c r="F20" s="16">
        <f t="shared" si="9"/>
        <v>3.9333</v>
      </c>
      <c r="G20" s="17"/>
      <c r="H20" s="276">
        <v>20</v>
      </c>
      <c r="I20" s="15">
        <f t="shared" si="10"/>
        <v>0.12</v>
      </c>
      <c r="J20" s="16">
        <f t="shared" si="11"/>
        <v>3.3346656000000001</v>
      </c>
      <c r="K20" s="474"/>
      <c r="L20" s="117">
        <f t="shared" si="4"/>
        <v>0.12</v>
      </c>
      <c r="M20" s="118">
        <f t="shared" si="5"/>
        <v>3.9333</v>
      </c>
      <c r="N20" s="474"/>
      <c r="O20" s="117">
        <f>L20</f>
        <v>0.12</v>
      </c>
      <c r="P20" s="118">
        <f>M20</f>
        <v>3.9333</v>
      </c>
      <c r="Q20" s="475"/>
      <c r="R20" s="474"/>
      <c r="S20" s="474"/>
      <c r="T20" s="474"/>
      <c r="U20" s="474"/>
      <c r="V20" s="475"/>
    </row>
    <row r="21" spans="1:22">
      <c r="A21" s="45" t="s">
        <v>46</v>
      </c>
      <c r="B21" s="46" t="s">
        <v>47</v>
      </c>
      <c r="C21" s="45" t="s">
        <v>35</v>
      </c>
      <c r="D21" s="47">
        <v>20</v>
      </c>
      <c r="E21" s="48">
        <f t="shared" si="8"/>
        <v>0.12</v>
      </c>
      <c r="F21" s="39">
        <f t="shared" si="9"/>
        <v>3.9333</v>
      </c>
      <c r="G21" s="18"/>
      <c r="H21" s="47">
        <v>10</v>
      </c>
      <c r="I21" s="38">
        <f t="shared" si="10"/>
        <v>0.06</v>
      </c>
      <c r="J21" s="39">
        <f t="shared" si="11"/>
        <v>1.6673328000000001</v>
      </c>
      <c r="L21" s="108">
        <f t="shared" si="4"/>
        <v>0.12</v>
      </c>
      <c r="M21" s="75">
        <f t="shared" si="5"/>
        <v>3.9333</v>
      </c>
      <c r="O21" s="119">
        <f>Q61</f>
        <v>2.8800000000000006E-2</v>
      </c>
      <c r="P21" s="115">
        <f t="shared" ref="P20:P21" si="12">R61</f>
        <v>0.94399200000000016</v>
      </c>
      <c r="Q21" s="19"/>
      <c r="V21" s="19"/>
    </row>
    <row r="22" spans="1:22">
      <c r="A22" s="45" t="s">
        <v>48</v>
      </c>
      <c r="B22" s="46" t="s">
        <v>49</v>
      </c>
      <c r="C22" s="45" t="s">
        <v>35</v>
      </c>
      <c r="D22" s="47">
        <v>0.5</v>
      </c>
      <c r="E22" s="48">
        <f t="shared" si="8"/>
        <v>3.0000000000000001E-3</v>
      </c>
      <c r="F22" s="39">
        <f t="shared" si="9"/>
        <v>9.8332500000000003E-2</v>
      </c>
      <c r="G22" s="18"/>
      <c r="H22" s="47">
        <v>2</v>
      </c>
      <c r="I22" s="38">
        <f t="shared" si="10"/>
        <v>1.2E-2</v>
      </c>
      <c r="J22" s="39">
        <f t="shared" si="11"/>
        <v>0.33346656000000002</v>
      </c>
      <c r="L22" s="108">
        <f t="shared" si="4"/>
        <v>1.2E-2</v>
      </c>
      <c r="M22" s="75">
        <f t="shared" si="5"/>
        <v>0.33346656000000002</v>
      </c>
      <c r="O22" s="119">
        <f t="shared" si="1"/>
        <v>1.2E-2</v>
      </c>
      <c r="P22" s="115">
        <f t="shared" si="2"/>
        <v>0.33346656000000002</v>
      </c>
      <c r="Q22" s="19"/>
      <c r="V22" s="19"/>
    </row>
    <row r="23" spans="1:22">
      <c r="A23" s="45" t="s">
        <v>50</v>
      </c>
      <c r="B23" s="46" t="s">
        <v>51</v>
      </c>
      <c r="C23" s="50" t="s">
        <v>35</v>
      </c>
      <c r="D23" s="51">
        <v>512</v>
      </c>
      <c r="E23" s="48">
        <f t="shared" si="8"/>
        <v>3.0720000000000001</v>
      </c>
      <c r="F23" s="39">
        <f t="shared" si="9"/>
        <v>100.69248</v>
      </c>
      <c r="G23" s="18"/>
      <c r="H23" s="51">
        <v>300</v>
      </c>
      <c r="I23" s="38">
        <f t="shared" si="10"/>
        <v>1.8</v>
      </c>
      <c r="J23" s="39">
        <f t="shared" si="11"/>
        <v>50.019984000000001</v>
      </c>
      <c r="L23" s="108">
        <f t="shared" si="4"/>
        <v>3.0720000000000001</v>
      </c>
      <c r="M23" s="75">
        <f t="shared" si="5"/>
        <v>100.69248</v>
      </c>
      <c r="O23" s="119">
        <f t="shared" si="1"/>
        <v>3.0720000000000001</v>
      </c>
      <c r="P23" s="115">
        <f t="shared" si="2"/>
        <v>100.69248</v>
      </c>
      <c r="Q23" s="19"/>
      <c r="V23" s="19"/>
    </row>
    <row r="24" spans="1:22">
      <c r="A24" s="52" t="s">
        <v>52</v>
      </c>
      <c r="B24" s="53" t="s">
        <v>53</v>
      </c>
      <c r="C24" s="54" t="s">
        <v>17</v>
      </c>
      <c r="D24" s="51">
        <v>37</v>
      </c>
      <c r="E24" s="48">
        <f t="shared" si="8"/>
        <v>0.222</v>
      </c>
      <c r="F24" s="39">
        <f t="shared" si="9"/>
        <v>7.276605</v>
      </c>
      <c r="G24" s="18"/>
      <c r="H24" s="51"/>
      <c r="I24" s="38"/>
      <c r="J24" s="39"/>
      <c r="L24" s="108">
        <f t="shared" si="4"/>
        <v>0.222</v>
      </c>
      <c r="M24" s="75">
        <f t="shared" si="5"/>
        <v>7.276605</v>
      </c>
      <c r="O24" s="119">
        <f t="shared" si="1"/>
        <v>0.222</v>
      </c>
      <c r="P24" s="115">
        <f t="shared" si="2"/>
        <v>7.276605</v>
      </c>
      <c r="Q24" s="19"/>
      <c r="V24" s="19"/>
    </row>
    <row r="25" spans="1:22" ht="28.8">
      <c r="A25" s="45"/>
      <c r="B25" s="49" t="s">
        <v>54</v>
      </c>
      <c r="C25" s="45" t="s">
        <v>55</v>
      </c>
      <c r="D25" s="51">
        <v>100</v>
      </c>
      <c r="E25" s="48">
        <f t="shared" si="8"/>
        <v>0.6</v>
      </c>
      <c r="F25" s="39">
        <f t="shared" si="9"/>
        <v>19.666499999999999</v>
      </c>
      <c r="G25" s="18"/>
      <c r="H25" s="51">
        <v>100</v>
      </c>
      <c r="I25" s="38">
        <f>$I$3*H25/1000</f>
        <v>0.6</v>
      </c>
      <c r="J25" s="39">
        <f>H25*$I$2/1000000</f>
        <v>16.673328000000001</v>
      </c>
      <c r="L25" s="108">
        <f t="shared" si="4"/>
        <v>0.6</v>
      </c>
      <c r="M25" s="75">
        <f t="shared" si="5"/>
        <v>19.666499999999999</v>
      </c>
      <c r="O25" s="119">
        <f t="shared" si="1"/>
        <v>0.6</v>
      </c>
      <c r="P25" s="115">
        <f t="shared" si="2"/>
        <v>19.666499999999999</v>
      </c>
      <c r="Q25" s="19"/>
      <c r="V25" s="19"/>
    </row>
    <row r="26" spans="1:22">
      <c r="A26" s="55"/>
      <c r="B26" s="46" t="s">
        <v>56</v>
      </c>
      <c r="C26" s="56" t="s">
        <v>57</v>
      </c>
      <c r="D26" s="47">
        <v>10</v>
      </c>
      <c r="E26" s="48">
        <f t="shared" si="8"/>
        <v>0.06</v>
      </c>
      <c r="F26" s="39">
        <f t="shared" si="9"/>
        <v>1.96665</v>
      </c>
      <c r="G26" s="18"/>
      <c r="H26" s="47">
        <v>13</v>
      </c>
      <c r="I26" s="38">
        <f>$I$3*H26/1000</f>
        <v>7.8E-2</v>
      </c>
      <c r="J26" s="39">
        <f>H26*$I$2/1000000</f>
        <v>2.1675326400000001</v>
      </c>
      <c r="L26" s="108">
        <f t="shared" si="4"/>
        <v>7.8E-2</v>
      </c>
      <c r="M26" s="75">
        <f t="shared" si="5"/>
        <v>2.1675326400000001</v>
      </c>
      <c r="O26" s="119">
        <f t="shared" si="1"/>
        <v>7.8E-2</v>
      </c>
      <c r="P26" s="115">
        <f t="shared" si="2"/>
        <v>2.1675326400000001</v>
      </c>
      <c r="Q26" s="19"/>
      <c r="V26" s="19"/>
    </row>
    <row r="27" spans="1:22">
      <c r="A27" s="55"/>
      <c r="B27" s="46" t="s">
        <v>58</v>
      </c>
      <c r="C27" s="56" t="s">
        <v>57</v>
      </c>
      <c r="D27" s="51">
        <v>16</v>
      </c>
      <c r="E27" s="48">
        <f t="shared" si="8"/>
        <v>9.6000000000000002E-2</v>
      </c>
      <c r="F27" s="39">
        <f t="shared" si="9"/>
        <v>3.1466400000000001</v>
      </c>
      <c r="G27" s="18"/>
      <c r="H27" s="51">
        <v>17</v>
      </c>
      <c r="I27" s="38">
        <f>$I$3*H27/1000</f>
        <v>0.10199999999999999</v>
      </c>
      <c r="J27" s="39">
        <f>H27*$I$2/1000000</f>
        <v>2.8344657599999996</v>
      </c>
      <c r="L27" s="108">
        <f t="shared" si="4"/>
        <v>0.10199999999999999</v>
      </c>
      <c r="M27" s="75">
        <f t="shared" si="5"/>
        <v>3.1466400000000001</v>
      </c>
      <c r="O27" s="119">
        <f t="shared" si="1"/>
        <v>0.10199999999999999</v>
      </c>
      <c r="P27" s="115">
        <f t="shared" si="2"/>
        <v>3.1466400000000001</v>
      </c>
      <c r="Q27" s="19"/>
      <c r="V27" s="19"/>
    </row>
    <row r="28" spans="1:22">
      <c r="A28" s="45"/>
      <c r="B28" s="46" t="s">
        <v>59</v>
      </c>
      <c r="C28" s="45" t="s">
        <v>57</v>
      </c>
      <c r="D28" s="51">
        <v>5</v>
      </c>
      <c r="E28" s="48">
        <f t="shared" si="8"/>
        <v>0.03</v>
      </c>
      <c r="F28" s="39">
        <f t="shared" si="9"/>
        <v>0.983325</v>
      </c>
      <c r="G28" s="18"/>
      <c r="H28" s="51">
        <v>9</v>
      </c>
      <c r="I28" s="38">
        <f>$I$3*H28/1000</f>
        <v>5.3999999999999999E-2</v>
      </c>
      <c r="J28" s="39">
        <f>H28*$I$2/1000000</f>
        <v>1.50059952</v>
      </c>
      <c r="L28" s="108">
        <f t="shared" si="4"/>
        <v>5.3999999999999999E-2</v>
      </c>
      <c r="M28" s="75">
        <f t="shared" si="5"/>
        <v>1.50059952</v>
      </c>
      <c r="O28" s="119">
        <f t="shared" si="1"/>
        <v>5.3999999999999999E-2</v>
      </c>
      <c r="P28" s="115">
        <f t="shared" si="2"/>
        <v>1.50059952</v>
      </c>
      <c r="Q28" s="19"/>
      <c r="V28" s="19"/>
    </row>
    <row r="29" spans="1:22">
      <c r="A29" s="45"/>
      <c r="B29" s="46" t="s">
        <v>60</v>
      </c>
      <c r="C29" s="45" t="s">
        <v>57</v>
      </c>
      <c r="D29" s="47">
        <v>4</v>
      </c>
      <c r="E29" s="48">
        <f t="shared" si="8"/>
        <v>2.4E-2</v>
      </c>
      <c r="F29" s="39">
        <f t="shared" si="9"/>
        <v>0.78666000000000003</v>
      </c>
      <c r="G29" s="18"/>
      <c r="H29" s="47">
        <v>6</v>
      </c>
      <c r="I29" s="38">
        <f>$I$3*H29/1000</f>
        <v>3.5999999999999997E-2</v>
      </c>
      <c r="J29" s="39">
        <f>H29*$I$2/1000000</f>
        <v>1.0003996799999999</v>
      </c>
      <c r="L29" s="108">
        <f t="shared" si="4"/>
        <v>3.5999999999999997E-2</v>
      </c>
      <c r="M29" s="75">
        <f t="shared" si="5"/>
        <v>1.0003996799999999</v>
      </c>
      <c r="O29" s="119">
        <f t="shared" si="1"/>
        <v>3.5999999999999997E-2</v>
      </c>
      <c r="P29" s="115">
        <f t="shared" si="2"/>
        <v>1.0003996799999999</v>
      </c>
      <c r="Q29" s="19"/>
      <c r="V29" s="19"/>
    </row>
    <row r="30" spans="1:22">
      <c r="A30" s="57" t="s">
        <v>61</v>
      </c>
      <c r="B30" s="57" t="s">
        <v>62</v>
      </c>
      <c r="C30" s="45"/>
      <c r="D30" s="58"/>
      <c r="E30" s="59"/>
      <c r="F30" s="62">
        <f>B36</f>
        <v>21545.358743999997</v>
      </c>
      <c r="G30" s="18"/>
      <c r="H30" s="58"/>
      <c r="I30" s="59"/>
      <c r="J30" s="59"/>
      <c r="L30" s="109"/>
      <c r="M30" s="75">
        <f t="shared" si="5"/>
        <v>21545.358743999997</v>
      </c>
      <c r="O30" s="119">
        <f t="shared" si="1"/>
        <v>0</v>
      </c>
      <c r="P30" s="115">
        <f t="shared" si="2"/>
        <v>21545.358743999997</v>
      </c>
      <c r="Q30" s="19"/>
      <c r="V30" s="19"/>
    </row>
    <row r="31" spans="1:22">
      <c r="A31" s="57" t="s">
        <v>63</v>
      </c>
      <c r="B31" s="57" t="s">
        <v>64</v>
      </c>
      <c r="C31" s="60"/>
      <c r="D31" s="61"/>
      <c r="E31" s="60"/>
      <c r="F31" s="60"/>
      <c r="G31" s="18"/>
      <c r="H31" s="61"/>
      <c r="I31" s="60"/>
      <c r="J31" s="62">
        <f>I36</f>
        <v>17655.320325887998</v>
      </c>
      <c r="L31" s="109"/>
      <c r="M31" s="75">
        <f t="shared" si="5"/>
        <v>17655.320325887998</v>
      </c>
      <c r="O31" s="120"/>
      <c r="P31" s="115">
        <f t="shared" si="2"/>
        <v>17655.320325887998</v>
      </c>
      <c r="Q31" s="19"/>
      <c r="V31" s="19"/>
    </row>
    <row r="32" spans="1:22" s="9" customFormat="1">
      <c r="A32" s="63"/>
      <c r="B32" s="63"/>
      <c r="C32" s="22"/>
      <c r="D32" s="22"/>
      <c r="E32" s="22"/>
      <c r="F32" s="22"/>
      <c r="G32" s="18"/>
      <c r="H32" s="22"/>
      <c r="I32" s="22"/>
      <c r="J32" s="22"/>
    </row>
    <row r="33" spans="1:24" s="9" customFormat="1">
      <c r="A33" s="35" t="s">
        <v>65</v>
      </c>
      <c r="B33" s="45">
        <v>29.9</v>
      </c>
      <c r="C33" s="60" t="s">
        <v>66</v>
      </c>
      <c r="D33" s="22"/>
      <c r="E33" s="22"/>
      <c r="F33" s="22"/>
      <c r="G33" s="18"/>
      <c r="H33" s="22"/>
      <c r="I33" s="64">
        <v>28.9</v>
      </c>
      <c r="J33" s="60" t="s">
        <v>66</v>
      </c>
    </row>
    <row r="34" spans="1:24" s="9" customFormat="1">
      <c r="A34" s="35" t="s">
        <v>68</v>
      </c>
      <c r="B34" s="35">
        <v>1</v>
      </c>
      <c r="C34" s="60"/>
      <c r="D34" s="22"/>
      <c r="E34" s="22"/>
      <c r="F34" s="22"/>
      <c r="G34" s="18"/>
      <c r="H34" s="22"/>
      <c r="I34" s="60">
        <v>1</v>
      </c>
      <c r="J34" s="60"/>
    </row>
    <row r="35" spans="1:24" s="9" customFormat="1">
      <c r="A35" s="35" t="s">
        <v>69</v>
      </c>
      <c r="B35" s="35">
        <f>(E2*B33*B34)/1000</f>
        <v>5880.2834999999995</v>
      </c>
      <c r="C35" s="60"/>
      <c r="D35" s="22"/>
      <c r="E35" s="22"/>
      <c r="F35" s="22"/>
      <c r="G35" s="18"/>
      <c r="H35" s="22"/>
      <c r="I35" s="60">
        <f>(I2*I33*I34)/1000</f>
        <v>4818.5917919999993</v>
      </c>
      <c r="J35" s="60"/>
    </row>
    <row r="36" spans="1:24" s="9" customFormat="1">
      <c r="A36" s="35" t="s">
        <v>70</v>
      </c>
      <c r="B36" s="65">
        <f>B35*3.664</f>
        <v>21545.358743999997</v>
      </c>
      <c r="C36" s="60" t="s">
        <v>5</v>
      </c>
      <c r="D36" s="22"/>
      <c r="E36" s="22"/>
      <c r="F36" s="22"/>
      <c r="G36" s="18"/>
      <c r="H36" s="22"/>
      <c r="I36" s="66">
        <f>I35*3.664</f>
        <v>17655.320325887998</v>
      </c>
      <c r="J36" s="60" t="s">
        <v>5</v>
      </c>
      <c r="R36" s="255"/>
    </row>
    <row r="37" spans="1:24" s="9" customFormat="1">
      <c r="A37" s="35" t="s">
        <v>71</v>
      </c>
      <c r="B37" s="67">
        <f>[3]Algandmed!O2</f>
        <v>0.05</v>
      </c>
      <c r="C37" s="59" t="s">
        <v>72</v>
      </c>
      <c r="D37" s="18"/>
      <c r="E37" s="18"/>
      <c r="F37" s="18"/>
      <c r="G37" s="18"/>
      <c r="H37" s="18"/>
      <c r="I37" s="59">
        <f>[3]Algandmed!O3</f>
        <v>0.35</v>
      </c>
      <c r="J37" s="59" t="s">
        <v>72</v>
      </c>
      <c r="R37" s="400"/>
      <c r="S37" s="400"/>
      <c r="T37" s="400"/>
      <c r="U37" s="392"/>
      <c r="V37" s="392"/>
      <c r="W37" s="392"/>
      <c r="X37" s="392"/>
    </row>
    <row r="38" spans="1:24" s="9" customFormat="1">
      <c r="A38" s="68"/>
      <c r="B38" s="69"/>
      <c r="C38" s="18"/>
      <c r="D38" s="18"/>
      <c r="E38" s="18"/>
      <c r="F38" s="18"/>
      <c r="G38" s="18"/>
      <c r="H38" s="18"/>
      <c r="I38" s="70">
        <f>0.02*I4*I37</f>
        <v>95.353999999999999</v>
      </c>
      <c r="J38" s="18"/>
      <c r="R38" s="400"/>
      <c r="S38" s="400"/>
      <c r="T38" s="400"/>
      <c r="U38" s="392"/>
      <c r="V38" s="392"/>
      <c r="W38" s="392"/>
      <c r="X38" s="392"/>
    </row>
    <row r="39" spans="1:24" s="9" customFormat="1">
      <c r="A39" s="68"/>
      <c r="B39" s="69"/>
      <c r="C39" s="18"/>
      <c r="D39" s="18"/>
      <c r="E39" s="18"/>
      <c r="F39" s="18"/>
      <c r="G39" s="18"/>
      <c r="H39" s="18"/>
      <c r="I39" s="70">
        <f>20*I3*I37/I5</f>
        <v>3.4313725490196076</v>
      </c>
      <c r="J39" s="18"/>
      <c r="R39" s="151"/>
      <c r="S39" s="151"/>
      <c r="T39" s="151"/>
      <c r="U39" s="277"/>
      <c r="V39" s="278"/>
      <c r="W39" s="279"/>
      <c r="X39" s="279"/>
    </row>
    <row r="40" spans="1:24" s="9" customFormat="1">
      <c r="A40" s="7"/>
      <c r="B40" s="7"/>
      <c r="C40" s="18"/>
      <c r="D40" s="18"/>
      <c r="E40" s="18"/>
      <c r="F40" s="18"/>
      <c r="G40" s="18"/>
      <c r="H40" s="18"/>
      <c r="I40" s="18"/>
      <c r="J40" s="18"/>
      <c r="R40" s="151"/>
      <c r="S40" s="151"/>
      <c r="T40" s="151"/>
      <c r="U40" s="277"/>
      <c r="V40" s="278"/>
      <c r="W40" s="279"/>
      <c r="X40" s="279"/>
    </row>
    <row r="41" spans="1:24">
      <c r="R41" s="151"/>
      <c r="S41" s="151"/>
      <c r="T41" s="151"/>
      <c r="U41" s="277"/>
      <c r="V41" s="278"/>
      <c r="W41" s="279"/>
      <c r="X41" s="279"/>
    </row>
    <row r="42" spans="1:24">
      <c r="W42" s="9"/>
      <c r="X42" s="9"/>
    </row>
    <row r="43" spans="1:24">
      <c r="W43" s="9"/>
      <c r="X43" s="9"/>
    </row>
    <row r="44" spans="1:24">
      <c r="R44" s="255"/>
      <c r="W44" s="9"/>
      <c r="X44" s="9"/>
    </row>
    <row r="45" spans="1:24">
      <c r="R45" s="400"/>
      <c r="S45" s="400"/>
      <c r="T45" s="400"/>
      <c r="U45" s="392"/>
      <c r="V45" s="392"/>
      <c r="W45" s="392"/>
      <c r="X45" s="392"/>
    </row>
    <row r="46" spans="1:24">
      <c r="R46" s="400"/>
      <c r="S46" s="400"/>
      <c r="T46" s="400"/>
      <c r="U46" s="392"/>
      <c r="V46" s="392"/>
      <c r="W46" s="392"/>
      <c r="X46" s="392"/>
    </row>
    <row r="47" spans="1:24">
      <c r="R47" s="151"/>
      <c r="S47" s="151"/>
      <c r="T47" s="151"/>
      <c r="U47" s="277"/>
      <c r="V47" s="278"/>
      <c r="W47" s="279"/>
      <c r="X47" s="279"/>
    </row>
    <row r="48" spans="1:24" ht="15" thickBot="1">
      <c r="A48" s="1" t="s">
        <v>78</v>
      </c>
      <c r="I48" s="1" t="s">
        <v>79</v>
      </c>
      <c r="R48" s="151"/>
      <c r="S48" s="151"/>
      <c r="T48" s="151"/>
      <c r="U48" s="277"/>
      <c r="V48" s="278"/>
      <c r="W48" s="279"/>
      <c r="X48" s="279"/>
    </row>
    <row r="49" spans="1:24">
      <c r="A49" s="389" t="s">
        <v>216</v>
      </c>
      <c r="B49" s="391" t="s">
        <v>83</v>
      </c>
      <c r="C49" s="391" t="s">
        <v>84</v>
      </c>
      <c r="D49" s="380" t="s">
        <v>217</v>
      </c>
      <c r="E49" s="380" t="s">
        <v>218</v>
      </c>
      <c r="F49" s="380" t="s">
        <v>219</v>
      </c>
      <c r="G49" s="382" t="s">
        <v>220</v>
      </c>
      <c r="H49"/>
      <c r="I49" s="389" t="s">
        <v>216</v>
      </c>
      <c r="J49" s="391" t="s">
        <v>83</v>
      </c>
      <c r="K49" s="391" t="s">
        <v>84</v>
      </c>
      <c r="L49" s="380" t="s">
        <v>217</v>
      </c>
      <c r="M49" s="380" t="s">
        <v>218</v>
      </c>
      <c r="N49" s="380" t="s">
        <v>219</v>
      </c>
      <c r="O49" s="382" t="s">
        <v>220</v>
      </c>
      <c r="Q49" s="394" t="s">
        <v>266</v>
      </c>
      <c r="R49" s="395"/>
      <c r="S49" s="151"/>
      <c r="T49" s="151"/>
      <c r="U49" s="277"/>
      <c r="V49" s="278"/>
      <c r="W49" s="279"/>
      <c r="X49" s="279"/>
    </row>
    <row r="50" spans="1:24" ht="46.2" customHeight="1">
      <c r="A50" s="390"/>
      <c r="B50" s="384"/>
      <c r="C50" s="384"/>
      <c r="D50" s="381"/>
      <c r="E50" s="381"/>
      <c r="F50" s="381"/>
      <c r="G50" s="383"/>
      <c r="H50"/>
      <c r="I50" s="390"/>
      <c r="J50" s="384"/>
      <c r="K50" s="384"/>
      <c r="L50" s="381"/>
      <c r="M50" s="381"/>
      <c r="N50" s="381"/>
      <c r="O50" s="383"/>
      <c r="Q50" s="285" t="s">
        <v>224</v>
      </c>
      <c r="R50" s="285" t="s">
        <v>225</v>
      </c>
      <c r="W50" s="9"/>
      <c r="X50" s="9"/>
    </row>
    <row r="51" spans="1:24">
      <c r="A51" s="280"/>
      <c r="B51" s="281" t="s">
        <v>24</v>
      </c>
      <c r="C51" s="281">
        <v>90</v>
      </c>
      <c r="D51" s="315">
        <f>E11</f>
        <v>0.87</v>
      </c>
      <c r="E51" s="315">
        <f>D52</f>
        <v>0.70799999999999996</v>
      </c>
      <c r="F51" s="315">
        <f>F11</f>
        <v>28.516425000000002</v>
      </c>
      <c r="G51" s="337">
        <f>F52</f>
        <v>23.206469999999999</v>
      </c>
      <c r="H51" s="312"/>
      <c r="I51" s="287"/>
      <c r="J51" s="313" t="s">
        <v>24</v>
      </c>
      <c r="K51" s="313">
        <v>90</v>
      </c>
      <c r="L51" s="315">
        <f>I11</f>
        <v>1.698</v>
      </c>
      <c r="M51" s="315">
        <f>L52</f>
        <v>0.88800000000000001</v>
      </c>
      <c r="N51" s="315">
        <f>J11</f>
        <v>47.18551824</v>
      </c>
      <c r="O51" s="316">
        <f>N52</f>
        <v>24.676525440000002</v>
      </c>
      <c r="Q51" s="325">
        <f>IF(E51&lt;M51,M51,E51)</f>
        <v>0.88800000000000001</v>
      </c>
      <c r="R51" s="326">
        <f>IF(G51&lt;O51,O51,G51)</f>
        <v>24.676525440000002</v>
      </c>
      <c r="W51" s="9"/>
      <c r="X51" s="9"/>
    </row>
    <row r="52" spans="1:24">
      <c r="A52" s="280"/>
      <c r="B52" s="281" t="s">
        <v>26</v>
      </c>
      <c r="C52" s="281">
        <v>90</v>
      </c>
      <c r="D52" s="315">
        <f t="shared" ref="D52:D53" si="13">E12</f>
        <v>0.70799999999999996</v>
      </c>
      <c r="E52" s="315">
        <f>D52</f>
        <v>0.70799999999999996</v>
      </c>
      <c r="F52" s="315">
        <f t="shared" ref="F52" si="14">F12</f>
        <v>23.206469999999999</v>
      </c>
      <c r="G52" s="337">
        <f>F52</f>
        <v>23.206469999999999</v>
      </c>
      <c r="H52" s="312"/>
      <c r="I52" s="287"/>
      <c r="J52" s="313" t="s">
        <v>26</v>
      </c>
      <c r="K52" s="313">
        <v>90</v>
      </c>
      <c r="L52" s="315">
        <f t="shared" ref="L52:L53" si="15">I12</f>
        <v>0.88800000000000001</v>
      </c>
      <c r="M52" s="315">
        <f>L52</f>
        <v>0.88800000000000001</v>
      </c>
      <c r="N52" s="315">
        <f t="shared" ref="N52:N53" si="16">J12</f>
        <v>24.676525440000002</v>
      </c>
      <c r="O52" s="316">
        <f>N52</f>
        <v>24.676525440000002</v>
      </c>
      <c r="Q52" s="325">
        <f t="shared" ref="Q52:Q53" si="17">IF(E52&lt;M52,M52,E52)</f>
        <v>0.88800000000000001</v>
      </c>
      <c r="R52" s="326">
        <f t="shared" ref="R52:R53" si="18">IF(G52&lt;O52,O52,G52)</f>
        <v>24.676525440000002</v>
      </c>
      <c r="W52" s="9"/>
      <c r="X52" s="9"/>
    </row>
    <row r="53" spans="1:24">
      <c r="A53" s="280"/>
      <c r="B53" s="281" t="s">
        <v>85</v>
      </c>
      <c r="C53" s="281">
        <v>90</v>
      </c>
      <c r="D53" s="315">
        <f t="shared" si="13"/>
        <v>0.69</v>
      </c>
      <c r="E53" s="315">
        <f>D53</f>
        <v>0.69</v>
      </c>
      <c r="F53" s="315">
        <f>F13</f>
        <v>22.616475000000001</v>
      </c>
      <c r="G53" s="337">
        <f>F53</f>
        <v>22.616475000000001</v>
      </c>
      <c r="H53" s="312"/>
      <c r="I53" s="287"/>
      <c r="J53" s="313" t="s">
        <v>85</v>
      </c>
      <c r="K53" s="313">
        <v>90</v>
      </c>
      <c r="L53" s="315">
        <f t="shared" si="15"/>
        <v>0.876</v>
      </c>
      <c r="M53" s="315">
        <f>L53</f>
        <v>0.876</v>
      </c>
      <c r="N53" s="315">
        <f t="shared" si="16"/>
        <v>24.343058879999997</v>
      </c>
      <c r="O53" s="316">
        <f>N53</f>
        <v>24.343058879999997</v>
      </c>
      <c r="Q53" s="325">
        <f t="shared" si="17"/>
        <v>0.876</v>
      </c>
      <c r="R53" s="326">
        <f t="shared" si="18"/>
        <v>24.343058879999997</v>
      </c>
      <c r="W53" s="9"/>
      <c r="X53" s="9"/>
    </row>
    <row r="54" spans="1:24">
      <c r="A54" s="280"/>
      <c r="B54" s="282"/>
      <c r="C54" s="282"/>
      <c r="D54" s="283"/>
      <c r="E54" s="283"/>
      <c r="F54" s="283"/>
      <c r="G54" s="284"/>
      <c r="H54" s="312"/>
      <c r="I54" s="287"/>
      <c r="J54" s="314"/>
      <c r="K54" s="314"/>
      <c r="L54" s="283"/>
      <c r="M54" s="283"/>
      <c r="N54" s="283"/>
      <c r="O54" s="284"/>
      <c r="Q54" s="319"/>
      <c r="R54" s="320"/>
      <c r="W54" s="9"/>
      <c r="X54" s="9"/>
    </row>
    <row r="55" spans="1:24">
      <c r="A55" s="280"/>
      <c r="B55" s="282"/>
      <c r="C55" s="282"/>
      <c r="D55" s="283"/>
      <c r="E55" s="283"/>
      <c r="F55" s="283"/>
      <c r="G55" s="284"/>
      <c r="H55" s="312"/>
      <c r="I55" s="287"/>
      <c r="J55" s="314"/>
      <c r="K55" s="314"/>
      <c r="L55" s="283"/>
      <c r="M55" s="283"/>
      <c r="N55" s="283"/>
      <c r="O55" s="284"/>
      <c r="Q55" s="321"/>
      <c r="R55" s="322"/>
    </row>
    <row r="56" spans="1:24">
      <c r="A56" s="280"/>
      <c r="B56" s="384" t="s">
        <v>10</v>
      </c>
      <c r="C56" s="385" t="s">
        <v>221</v>
      </c>
      <c r="D56" s="387" t="s">
        <v>222</v>
      </c>
      <c r="E56" s="387"/>
      <c r="F56" s="387" t="s">
        <v>223</v>
      </c>
      <c r="G56" s="388"/>
      <c r="H56" s="312"/>
      <c r="I56" s="287"/>
      <c r="J56" s="384" t="s">
        <v>10</v>
      </c>
      <c r="K56" s="385" t="s">
        <v>221</v>
      </c>
      <c r="L56" s="387" t="s">
        <v>222</v>
      </c>
      <c r="M56" s="387"/>
      <c r="N56" s="387" t="s">
        <v>223</v>
      </c>
      <c r="O56" s="388"/>
      <c r="Q56" s="321"/>
      <c r="R56" s="322"/>
    </row>
    <row r="57" spans="1:24">
      <c r="A57" s="280"/>
      <c r="B57" s="384"/>
      <c r="C57" s="386"/>
      <c r="D57" s="315" t="s">
        <v>224</v>
      </c>
      <c r="E57" s="315" t="s">
        <v>225</v>
      </c>
      <c r="F57" s="315" t="s">
        <v>224</v>
      </c>
      <c r="G57" s="316" t="s">
        <v>225</v>
      </c>
      <c r="H57" s="312"/>
      <c r="I57" s="287"/>
      <c r="J57" s="384"/>
      <c r="K57" s="386"/>
      <c r="L57" s="315" t="s">
        <v>224</v>
      </c>
      <c r="M57" s="315" t="s">
        <v>225</v>
      </c>
      <c r="N57" s="315" t="s">
        <v>224</v>
      </c>
      <c r="O57" s="316" t="s">
        <v>225</v>
      </c>
      <c r="Q57" s="323"/>
      <c r="R57" s="324"/>
    </row>
    <row r="58" spans="1:24">
      <c r="A58" s="287"/>
      <c r="B58" s="288" t="s">
        <v>34</v>
      </c>
      <c r="C58" s="286">
        <v>76</v>
      </c>
      <c r="D58" s="121">
        <f>E15</f>
        <v>0.16200000000000001</v>
      </c>
      <c r="E58" s="121">
        <f>F15</f>
        <v>5.3099550000000004</v>
      </c>
      <c r="F58" s="315">
        <f t="shared" ref="F58:F61" si="19">D58-(D58*C58/100)</f>
        <v>3.8879999999999998E-2</v>
      </c>
      <c r="G58" s="316">
        <f t="shared" ref="G58:G61" si="20">E58-(E58*C58/100)</f>
        <v>1.2743891999999999</v>
      </c>
      <c r="H58" s="255"/>
      <c r="I58" s="287"/>
      <c r="J58" s="288" t="s">
        <v>34</v>
      </c>
      <c r="K58" s="286">
        <v>76</v>
      </c>
      <c r="L58" s="121">
        <f>I15</f>
        <v>0.6</v>
      </c>
      <c r="M58" s="121">
        <f>J15</f>
        <v>16.673328000000001</v>
      </c>
      <c r="N58" s="315">
        <f t="shared" ref="N58:N61" si="21">L58-(L58*K58/100)</f>
        <v>0.14399999999999996</v>
      </c>
      <c r="O58" s="316">
        <f t="shared" ref="O58:O61" si="22">M58-(M58*K58/100)</f>
        <v>4.0015987200000005</v>
      </c>
      <c r="Q58" s="119">
        <f t="shared" ref="Q58:Q61" si="23">IF(F58&lt;N58,N58,F58)</f>
        <v>0.14399999999999996</v>
      </c>
      <c r="R58" s="115">
        <f t="shared" ref="R58:R61" si="24">IF(G58&lt;O58,O58,G58)</f>
        <v>4.0015987200000005</v>
      </c>
    </row>
    <row r="59" spans="1:24">
      <c r="A59" s="287"/>
      <c r="B59" s="288" t="s">
        <v>43</v>
      </c>
      <c r="C59" s="286">
        <v>76</v>
      </c>
      <c r="D59" s="121">
        <f>E19</f>
        <v>0.13800000000000001</v>
      </c>
      <c r="E59" s="121">
        <f>F19</f>
        <v>4.5232950000000001</v>
      </c>
      <c r="F59" s="315">
        <f t="shared" si="19"/>
        <v>3.3119999999999997E-2</v>
      </c>
      <c r="G59" s="316">
        <f t="shared" si="20"/>
        <v>1.0855907999999999</v>
      </c>
      <c r="H59" s="255"/>
      <c r="I59" s="287"/>
      <c r="J59" s="288" t="s">
        <v>43</v>
      </c>
      <c r="K59" s="286">
        <v>76</v>
      </c>
      <c r="L59" s="121">
        <f>I19</f>
        <v>0.12</v>
      </c>
      <c r="M59" s="121">
        <f>J19</f>
        <v>3.3346656000000001</v>
      </c>
      <c r="N59" s="315">
        <f t="shared" si="21"/>
        <v>2.8800000000000006E-2</v>
      </c>
      <c r="O59" s="316">
        <f t="shared" si="22"/>
        <v>0.80031974399999983</v>
      </c>
      <c r="Q59" s="119">
        <f t="shared" si="23"/>
        <v>3.3119999999999997E-2</v>
      </c>
      <c r="R59" s="115">
        <f t="shared" si="24"/>
        <v>1.0855907999999999</v>
      </c>
    </row>
    <row r="60" spans="1:24">
      <c r="A60" s="287"/>
      <c r="B60" s="288" t="s">
        <v>41</v>
      </c>
      <c r="C60" s="286">
        <v>76</v>
      </c>
      <c r="D60" s="122">
        <f>E18</f>
        <v>6.0000000000000001E-3</v>
      </c>
      <c r="E60" s="122">
        <f>F18</f>
        <v>0.19666500000000001</v>
      </c>
      <c r="F60" s="315">
        <f t="shared" si="19"/>
        <v>1.4400000000000003E-3</v>
      </c>
      <c r="G60" s="316">
        <f t="shared" si="20"/>
        <v>4.7199600000000008E-2</v>
      </c>
      <c r="H60" s="255"/>
      <c r="I60" s="287"/>
      <c r="J60" s="288" t="s">
        <v>41</v>
      </c>
      <c r="K60" s="286">
        <v>76</v>
      </c>
      <c r="L60" s="121">
        <f>I18</f>
        <v>2.4E-2</v>
      </c>
      <c r="M60" s="121">
        <f>J18</f>
        <v>0.66693312000000005</v>
      </c>
      <c r="N60" s="315">
        <f t="shared" si="21"/>
        <v>5.7600000000000012E-3</v>
      </c>
      <c r="O60" s="316">
        <f t="shared" si="22"/>
        <v>0.16006394879999997</v>
      </c>
      <c r="Q60" s="119">
        <f t="shared" si="23"/>
        <v>5.7600000000000012E-3</v>
      </c>
      <c r="R60" s="115">
        <f t="shared" si="24"/>
        <v>0.16006394879999997</v>
      </c>
    </row>
    <row r="61" spans="1:24" ht="15" thickBot="1">
      <c r="A61" s="289"/>
      <c r="B61" s="290" t="s">
        <v>47</v>
      </c>
      <c r="C61" s="291">
        <v>76</v>
      </c>
      <c r="D61" s="292">
        <f>E21</f>
        <v>0.12</v>
      </c>
      <c r="E61" s="292">
        <f>F21</f>
        <v>3.9333</v>
      </c>
      <c r="F61" s="317">
        <f t="shared" si="19"/>
        <v>2.8800000000000006E-2</v>
      </c>
      <c r="G61" s="318">
        <f t="shared" si="20"/>
        <v>0.94399200000000016</v>
      </c>
      <c r="H61" s="255"/>
      <c r="I61" s="289"/>
      <c r="J61" s="290" t="s">
        <v>47</v>
      </c>
      <c r="K61" s="291">
        <v>76</v>
      </c>
      <c r="L61" s="338">
        <f>I21</f>
        <v>0.06</v>
      </c>
      <c r="M61" s="338">
        <f>J21</f>
        <v>1.6673328000000001</v>
      </c>
      <c r="N61" s="317">
        <f t="shared" si="21"/>
        <v>1.4400000000000003E-2</v>
      </c>
      <c r="O61" s="318">
        <f t="shared" si="22"/>
        <v>0.40015987199999992</v>
      </c>
      <c r="Q61" s="119">
        <f t="shared" si="23"/>
        <v>2.8800000000000006E-2</v>
      </c>
      <c r="R61" s="115">
        <f t="shared" si="24"/>
        <v>0.94399200000000016</v>
      </c>
    </row>
  </sheetData>
  <mergeCells count="46">
    <mergeCell ref="Q49:R49"/>
    <mergeCell ref="O2:P5"/>
    <mergeCell ref="L2:M5"/>
    <mergeCell ref="W37:W38"/>
    <mergeCell ref="X37:X38"/>
    <mergeCell ref="R45:R46"/>
    <mergeCell ref="S45:S46"/>
    <mergeCell ref="T45:T46"/>
    <mergeCell ref="U45:U46"/>
    <mergeCell ref="V45:V46"/>
    <mergeCell ref="W45:W46"/>
    <mergeCell ref="X45:X46"/>
    <mergeCell ref="R37:R38"/>
    <mergeCell ref="S37:S38"/>
    <mergeCell ref="T37:T38"/>
    <mergeCell ref="U37:U38"/>
    <mergeCell ref="V37:V38"/>
    <mergeCell ref="A3:C3"/>
    <mergeCell ref="A4:C4"/>
    <mergeCell ref="A5:C5"/>
    <mergeCell ref="D1:F1"/>
    <mergeCell ref="H1:J1"/>
    <mergeCell ref="D2:D5"/>
    <mergeCell ref="H2:H5"/>
    <mergeCell ref="K49:K50"/>
    <mergeCell ref="A49:A50"/>
    <mergeCell ref="B49:B50"/>
    <mergeCell ref="C49:C50"/>
    <mergeCell ref="D49:D50"/>
    <mergeCell ref="E49:E50"/>
    <mergeCell ref="L49:L50"/>
    <mergeCell ref="M49:M50"/>
    <mergeCell ref="N49:N50"/>
    <mergeCell ref="O49:O50"/>
    <mergeCell ref="B56:B57"/>
    <mergeCell ref="C56:C57"/>
    <mergeCell ref="D56:E56"/>
    <mergeCell ref="F56:G56"/>
    <mergeCell ref="J56:J57"/>
    <mergeCell ref="K56:K57"/>
    <mergeCell ref="L56:M56"/>
    <mergeCell ref="N56:O56"/>
    <mergeCell ref="F49:F50"/>
    <mergeCell ref="G49:G50"/>
    <mergeCell ref="I49:I50"/>
    <mergeCell ref="J49:J5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F35" sqref="F35"/>
    </sheetView>
  </sheetViews>
  <sheetFormatPr defaultRowHeight="14.4"/>
  <cols>
    <col min="13" max="13" width="19.6640625" customWidth="1"/>
  </cols>
  <sheetData>
    <row r="1" spans="1:13">
      <c r="A1" s="236" t="str">
        <f>[4]Algandmed!A2</f>
        <v>K1</v>
      </c>
      <c r="B1" s="237"/>
      <c r="C1" s="238"/>
      <c r="D1" s="239" t="s">
        <v>188</v>
      </c>
      <c r="E1" s="240">
        <f>Algandmed!C5</f>
        <v>8.67</v>
      </c>
      <c r="F1" s="239" t="s">
        <v>3</v>
      </c>
      <c r="G1" s="239"/>
      <c r="H1" s="239"/>
      <c r="I1" s="239"/>
      <c r="J1" s="241"/>
      <c r="K1" s="241"/>
      <c r="L1" s="241"/>
      <c r="M1" s="242"/>
    </row>
    <row r="2" spans="1:13">
      <c r="A2" s="243" t="s">
        <v>189</v>
      </c>
      <c r="J2" s="244"/>
      <c r="K2" s="244"/>
      <c r="L2" s="244"/>
      <c r="M2" s="245"/>
    </row>
    <row r="3" spans="1:13">
      <c r="A3" s="243"/>
      <c r="D3" t="s">
        <v>190</v>
      </c>
      <c r="E3" s="225">
        <f>E1*0.25</f>
        <v>2.1675</v>
      </c>
      <c r="F3" t="s">
        <v>191</v>
      </c>
      <c r="J3" s="244"/>
      <c r="K3" s="244"/>
      <c r="L3" s="244"/>
      <c r="M3" s="245"/>
    </row>
    <row r="4" spans="1:13">
      <c r="A4" s="243"/>
      <c r="D4" s="246" t="s">
        <v>192</v>
      </c>
      <c r="E4" s="225">
        <f>20.9/(20.9-3)</f>
        <v>1.1675977653631284</v>
      </c>
      <c r="I4" t="s">
        <v>192</v>
      </c>
      <c r="J4" s="244" t="s">
        <v>193</v>
      </c>
      <c r="K4" s="244"/>
      <c r="L4" s="244"/>
      <c r="M4" s="245"/>
    </row>
    <row r="5" spans="1:13">
      <c r="A5" s="243"/>
      <c r="D5" t="s">
        <v>194</v>
      </c>
      <c r="E5" s="225">
        <f>E3*E4</f>
        <v>2.530768156424581</v>
      </c>
      <c r="F5" t="s">
        <v>195</v>
      </c>
      <c r="J5" s="244"/>
      <c r="K5" s="244"/>
      <c r="L5" s="244"/>
      <c r="M5" s="245"/>
    </row>
    <row r="6" spans="1:13">
      <c r="A6" s="243" t="s">
        <v>196</v>
      </c>
      <c r="F6" s="252">
        <v>190</v>
      </c>
      <c r="G6" t="s">
        <v>197</v>
      </c>
      <c r="J6" s="244"/>
      <c r="K6" s="244"/>
      <c r="L6" s="244"/>
      <c r="M6" s="245"/>
    </row>
    <row r="7" spans="1:13">
      <c r="A7" s="243"/>
      <c r="D7" t="s">
        <v>198</v>
      </c>
      <c r="E7" s="225">
        <f>E5*(273+F6)/273</f>
        <v>4.2921086315918719</v>
      </c>
      <c r="F7" t="s">
        <v>199</v>
      </c>
      <c r="J7" s="244"/>
      <c r="K7" s="244"/>
      <c r="L7" s="244"/>
      <c r="M7" s="245"/>
    </row>
    <row r="8" spans="1:13">
      <c r="A8" s="243" t="s">
        <v>200</v>
      </c>
      <c r="I8" t="s">
        <v>201</v>
      </c>
      <c r="J8" s="252">
        <v>0.64</v>
      </c>
      <c r="K8" s="244" t="s">
        <v>103</v>
      </c>
      <c r="L8" s="244"/>
      <c r="M8" s="245"/>
    </row>
    <row r="9" spans="1:13" ht="15" thickBot="1">
      <c r="A9" s="247"/>
      <c r="B9" s="248"/>
      <c r="C9" s="248"/>
      <c r="D9" s="248" t="s">
        <v>202</v>
      </c>
      <c r="E9" s="354">
        <f>4*E7/(3.14*J8*J8)</f>
        <v>13.348765399805531</v>
      </c>
      <c r="F9" s="248" t="s">
        <v>203</v>
      </c>
      <c r="G9" s="248"/>
      <c r="H9" s="248"/>
      <c r="I9" s="248"/>
      <c r="J9" s="249"/>
      <c r="K9" s="249"/>
      <c r="L9" s="249"/>
      <c r="M9" s="250"/>
    </row>
    <row r="10" spans="1:13" ht="15" thickBot="1">
      <c r="J10" s="244"/>
      <c r="K10" s="244"/>
      <c r="L10" s="244"/>
      <c r="M10" s="251"/>
    </row>
    <row r="11" spans="1:13">
      <c r="A11" s="236" t="str">
        <f>[4]Algandmed!A3</f>
        <v>K2</v>
      </c>
      <c r="B11" s="237"/>
      <c r="C11" s="238"/>
      <c r="D11" s="239" t="s">
        <v>188</v>
      </c>
      <c r="E11" s="240">
        <f>Algandmed!C11</f>
        <v>5.78</v>
      </c>
      <c r="F11" s="239" t="s">
        <v>3</v>
      </c>
      <c r="G11" s="239"/>
      <c r="H11" s="239"/>
      <c r="I11" s="239"/>
      <c r="J11" s="241"/>
      <c r="K11" s="241"/>
      <c r="L11" s="241"/>
      <c r="M11" s="242"/>
    </row>
    <row r="12" spans="1:13">
      <c r="A12" s="243" t="s">
        <v>189</v>
      </c>
      <c r="J12" s="244"/>
      <c r="K12" s="244"/>
      <c r="L12" s="244"/>
      <c r="M12" s="245"/>
    </row>
    <row r="13" spans="1:13">
      <c r="A13" s="243"/>
      <c r="D13" t="s">
        <v>190</v>
      </c>
      <c r="E13" s="225">
        <f>E11*0.25</f>
        <v>1.4450000000000001</v>
      </c>
      <c r="F13" t="s">
        <v>191</v>
      </c>
      <c r="J13" s="244"/>
      <c r="K13" s="244"/>
      <c r="L13" s="244"/>
      <c r="M13" s="245"/>
    </row>
    <row r="14" spans="1:13">
      <c r="A14" s="243"/>
      <c r="D14" s="246" t="s">
        <v>192</v>
      </c>
      <c r="E14" s="225">
        <f>20.9/(20.9-3)</f>
        <v>1.1675977653631284</v>
      </c>
      <c r="I14" t="s">
        <v>192</v>
      </c>
      <c r="J14" s="244" t="s">
        <v>193</v>
      </c>
      <c r="K14" s="244"/>
      <c r="L14" s="244"/>
      <c r="M14" s="245"/>
    </row>
    <row r="15" spans="1:13">
      <c r="A15" s="243"/>
      <c r="D15" t="s">
        <v>194</v>
      </c>
      <c r="E15" s="225">
        <f>E13*E14</f>
        <v>1.6871787709497206</v>
      </c>
      <c r="F15" t="s">
        <v>195</v>
      </c>
      <c r="J15" s="244"/>
      <c r="K15" s="244"/>
      <c r="L15" s="244"/>
      <c r="M15" s="245"/>
    </row>
    <row r="16" spans="1:13">
      <c r="A16" s="243" t="s">
        <v>196</v>
      </c>
      <c r="F16" s="253">
        <v>190</v>
      </c>
      <c r="G16" t="s">
        <v>197</v>
      </c>
      <c r="J16" s="244"/>
      <c r="K16" s="244"/>
      <c r="L16" s="244"/>
      <c r="M16" s="245"/>
    </row>
    <row r="17" spans="1:13">
      <c r="A17" s="243"/>
      <c r="D17" t="s">
        <v>198</v>
      </c>
      <c r="E17" s="225">
        <f>E15*(273+F16)/273</f>
        <v>2.861405754394581</v>
      </c>
      <c r="F17" t="s">
        <v>199</v>
      </c>
      <c r="J17" s="244"/>
      <c r="K17" s="244"/>
      <c r="L17" s="244"/>
      <c r="M17" s="245"/>
    </row>
    <row r="18" spans="1:13">
      <c r="A18" s="243" t="s">
        <v>200</v>
      </c>
      <c r="I18" t="s">
        <v>201</v>
      </c>
      <c r="J18" s="254">
        <v>0.64</v>
      </c>
      <c r="K18" s="244" t="s">
        <v>103</v>
      </c>
      <c r="L18" s="244"/>
      <c r="M18" s="245"/>
    </row>
    <row r="19" spans="1:13" ht="15" thickBot="1">
      <c r="A19" s="247"/>
      <c r="B19" s="248"/>
      <c r="C19" s="248"/>
      <c r="D19" s="248" t="s">
        <v>202</v>
      </c>
      <c r="E19" s="354">
        <f>4*E17/(3.14*J18*J18)</f>
        <v>8.8991769332036874</v>
      </c>
      <c r="F19" s="248" t="s">
        <v>203</v>
      </c>
      <c r="G19" s="248"/>
      <c r="H19" s="248"/>
      <c r="I19" s="248"/>
      <c r="J19" s="249"/>
      <c r="K19" s="249"/>
      <c r="L19" s="249"/>
      <c r="M19" s="250"/>
    </row>
    <row r="20" spans="1:13" ht="15" thickBot="1"/>
    <row r="21" spans="1:13">
      <c r="A21" s="236" t="s">
        <v>209</v>
      </c>
      <c r="B21" s="237"/>
      <c r="C21" s="238"/>
      <c r="D21" s="239" t="s">
        <v>188</v>
      </c>
      <c r="E21" s="240">
        <f>Algandmed!C17</f>
        <v>6</v>
      </c>
      <c r="F21" s="239" t="s">
        <v>3</v>
      </c>
      <c r="G21" s="239"/>
      <c r="H21" s="239"/>
      <c r="I21" s="239"/>
      <c r="J21" s="241"/>
      <c r="K21" s="241"/>
      <c r="L21" s="241"/>
      <c r="M21" s="242"/>
    </row>
    <row r="22" spans="1:13">
      <c r="A22" s="243" t="s">
        <v>189</v>
      </c>
      <c r="J22" s="244"/>
      <c r="K22" s="244"/>
      <c r="L22" s="244"/>
      <c r="M22" s="245"/>
    </row>
    <row r="23" spans="1:13">
      <c r="A23" s="243"/>
      <c r="D23" t="s">
        <v>190</v>
      </c>
      <c r="E23" s="225">
        <f>E21*0.25</f>
        <v>1.5</v>
      </c>
      <c r="F23" t="s">
        <v>191</v>
      </c>
      <c r="J23" s="244"/>
      <c r="K23" s="244"/>
      <c r="L23" s="244"/>
      <c r="M23" s="245"/>
    </row>
    <row r="24" spans="1:13">
      <c r="A24" s="243"/>
      <c r="D24" s="246" t="s">
        <v>192</v>
      </c>
      <c r="E24" s="225">
        <f>20.9/(20.9-6)</f>
        <v>1.4026845637583893</v>
      </c>
      <c r="I24" t="s">
        <v>192</v>
      </c>
      <c r="J24" s="244" t="s">
        <v>193</v>
      </c>
      <c r="K24" s="244"/>
      <c r="L24" s="244"/>
      <c r="M24" s="245"/>
    </row>
    <row r="25" spans="1:13">
      <c r="A25" s="243"/>
      <c r="D25" t="s">
        <v>194</v>
      </c>
      <c r="E25" s="225">
        <f>E23*E24</f>
        <v>2.1040268456375841</v>
      </c>
      <c r="F25" t="s">
        <v>195</v>
      </c>
      <c r="J25" s="244"/>
      <c r="K25" s="244"/>
      <c r="L25" s="244"/>
      <c r="M25" s="245"/>
    </row>
    <row r="26" spans="1:13">
      <c r="A26" s="243" t="s">
        <v>196</v>
      </c>
      <c r="F26" s="253">
        <v>50</v>
      </c>
      <c r="G26" t="s">
        <v>197</v>
      </c>
      <c r="J26" s="244"/>
      <c r="K26" s="244"/>
      <c r="L26" s="244"/>
      <c r="M26" s="245"/>
    </row>
    <row r="27" spans="1:13">
      <c r="A27" s="243"/>
      <c r="D27" t="s">
        <v>198</v>
      </c>
      <c r="E27" s="225">
        <f>E25*(273+F26)/273</f>
        <v>2.4893797477690098</v>
      </c>
      <c r="F27" t="s">
        <v>199</v>
      </c>
      <c r="J27" s="244"/>
      <c r="K27" s="244"/>
      <c r="L27" s="244"/>
      <c r="M27" s="245"/>
    </row>
    <row r="28" spans="1:13">
      <c r="A28" s="243" t="s">
        <v>200</v>
      </c>
      <c r="I28" t="s">
        <v>201</v>
      </c>
      <c r="J28" s="254">
        <v>0.9</v>
      </c>
      <c r="K28" s="244" t="s">
        <v>103</v>
      </c>
      <c r="L28" s="244"/>
      <c r="M28" s="245"/>
    </row>
    <row r="29" spans="1:13" ht="15" thickBot="1">
      <c r="A29" s="247"/>
      <c r="B29" s="248"/>
      <c r="C29" s="248"/>
      <c r="D29" s="248" t="s">
        <v>202</v>
      </c>
      <c r="E29" s="354">
        <f>4*E27/(3.14*J28*J28)</f>
        <v>3.9150424593363367</v>
      </c>
      <c r="F29" s="248" t="s">
        <v>203</v>
      </c>
      <c r="G29" s="248"/>
      <c r="H29" s="248"/>
      <c r="I29" s="248"/>
      <c r="J29" s="249"/>
      <c r="K29" s="249"/>
      <c r="L29" s="249"/>
      <c r="M29" s="2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2"/>
  <sheetViews>
    <sheetView topLeftCell="A13" zoomScaleNormal="100" workbookViewId="0">
      <selection activeCell="L6" sqref="L6"/>
    </sheetView>
  </sheetViews>
  <sheetFormatPr defaultColWidth="8.88671875" defaultRowHeight="14.4"/>
  <cols>
    <col min="1" max="1" width="13.21875" style="8" customWidth="1"/>
    <col min="2" max="2" width="9.21875" style="8" bestFit="1" customWidth="1"/>
    <col min="3" max="3" width="10.5546875" style="8" bestFit="1" customWidth="1"/>
    <col min="4" max="4" width="12.88671875" style="8" bestFit="1" customWidth="1"/>
    <col min="5" max="5" width="16.44140625" style="8" customWidth="1"/>
    <col min="6" max="6" width="12.5546875" style="8" customWidth="1"/>
    <col min="7" max="7" width="46.21875" style="8" customWidth="1"/>
    <col min="8" max="8" width="12.6640625" style="8" customWidth="1"/>
    <col min="9" max="9" width="21" style="8" customWidth="1"/>
    <col min="10" max="10" width="18.88671875" style="8" bestFit="1" customWidth="1"/>
    <col min="11" max="11" width="17.77734375" style="8" customWidth="1"/>
    <col min="12" max="12" width="21.44140625" style="8" customWidth="1"/>
    <col min="13" max="13" width="6.33203125" style="8" customWidth="1"/>
    <col min="14" max="14" width="24" style="8" customWidth="1"/>
    <col min="15" max="15" width="16.33203125" style="8" customWidth="1"/>
    <col min="16" max="16" width="13.109375" style="8" customWidth="1"/>
    <col min="17" max="18" width="13.6640625" style="8" customWidth="1"/>
    <col min="19" max="16384" width="8.88671875" style="8"/>
  </cols>
  <sheetData>
    <row r="1" spans="1:18">
      <c r="A1" s="401" t="s">
        <v>101</v>
      </c>
      <c r="B1" s="401"/>
      <c r="C1" s="401"/>
      <c r="D1" s="401"/>
      <c r="E1" s="401"/>
      <c r="F1" s="401"/>
      <c r="G1" s="401"/>
      <c r="H1" s="193">
        <f>Algandmed!F30</f>
        <v>3380</v>
      </c>
      <c r="I1" s="109" t="s">
        <v>5</v>
      </c>
    </row>
    <row r="2" spans="1:18">
      <c r="A2" s="401" t="s">
        <v>96</v>
      </c>
      <c r="B2" s="401"/>
      <c r="C2" s="401"/>
      <c r="D2" s="401"/>
      <c r="E2" s="401"/>
      <c r="F2" s="401"/>
      <c r="G2" s="401"/>
      <c r="H2" s="193">
        <v>25</v>
      </c>
      <c r="I2" s="109" t="s">
        <v>104</v>
      </c>
    </row>
    <row r="3" spans="1:18">
      <c r="A3" s="404" t="s">
        <v>97</v>
      </c>
      <c r="B3" s="405"/>
      <c r="C3" s="405"/>
      <c r="D3" s="405"/>
      <c r="E3" s="405"/>
      <c r="F3" s="405"/>
      <c r="G3" s="406"/>
      <c r="H3" s="193">
        <v>280</v>
      </c>
      <c r="I3" s="109"/>
    </row>
    <row r="4" spans="1:18">
      <c r="A4" s="402" t="s">
        <v>136</v>
      </c>
      <c r="B4" s="402"/>
      <c r="C4" s="402"/>
      <c r="D4" s="402"/>
      <c r="E4" s="402"/>
      <c r="F4" s="402"/>
      <c r="G4" s="402"/>
      <c r="H4" s="305">
        <f>Algandmed!F21</f>
        <v>365</v>
      </c>
      <c r="I4" s="303"/>
    </row>
    <row r="5" spans="1:18">
      <c r="A5" s="403" t="s">
        <v>145</v>
      </c>
      <c r="B5" s="403"/>
      <c r="C5" s="403"/>
      <c r="D5" s="403"/>
      <c r="E5" s="403"/>
      <c r="F5" s="403"/>
      <c r="G5" s="403"/>
      <c r="H5" s="306">
        <v>0.8</v>
      </c>
      <c r="I5" s="304"/>
    </row>
    <row r="6" spans="1:18">
      <c r="A6" s="402" t="s">
        <v>157</v>
      </c>
      <c r="B6" s="402"/>
      <c r="C6" s="402"/>
      <c r="D6" s="402"/>
      <c r="E6" s="402"/>
      <c r="F6" s="402"/>
      <c r="G6" s="402"/>
      <c r="H6" s="306">
        <v>2.1999999999999999E-2</v>
      </c>
      <c r="I6" s="304" t="s">
        <v>231</v>
      </c>
    </row>
    <row r="7" spans="1:18" ht="15.6">
      <c r="A7" s="402" t="s">
        <v>233</v>
      </c>
      <c r="B7" s="402"/>
      <c r="C7" s="402"/>
      <c r="D7" s="402"/>
      <c r="E7" s="402"/>
      <c r="F7" s="402"/>
      <c r="G7" s="402"/>
      <c r="H7" s="305">
        <v>280.47000000000003</v>
      </c>
      <c r="I7" s="303" t="s">
        <v>232</v>
      </c>
    </row>
    <row r="8" spans="1:18" ht="15.6">
      <c r="A8" s="402" t="s">
        <v>230</v>
      </c>
      <c r="B8" s="402"/>
      <c r="C8" s="402"/>
      <c r="D8" s="402"/>
      <c r="E8" s="402"/>
      <c r="F8" s="402"/>
      <c r="G8" s="402"/>
      <c r="H8" s="305">
        <v>4.2999999999999997E-2</v>
      </c>
      <c r="I8" s="303"/>
    </row>
    <row r="9" spans="1:18" ht="16.2">
      <c r="A9" s="259" t="s">
        <v>234</v>
      </c>
      <c r="B9" s="260"/>
      <c r="C9" s="260"/>
      <c r="D9" s="260"/>
      <c r="E9" s="260"/>
      <c r="F9" s="260"/>
      <c r="G9" s="260"/>
      <c r="H9" s="306">
        <v>100</v>
      </c>
      <c r="I9" s="308"/>
      <c r="J9" s="302"/>
    </row>
    <row r="10" spans="1:18">
      <c r="A10" s="302"/>
      <c r="B10" s="302"/>
      <c r="C10" s="302"/>
      <c r="D10" s="302"/>
      <c r="E10" s="302"/>
      <c r="F10" s="302"/>
      <c r="G10" s="307" t="s">
        <v>129</v>
      </c>
      <c r="H10" s="306">
        <v>10</v>
      </c>
      <c r="I10" s="308"/>
    </row>
    <row r="11" spans="1:18">
      <c r="A11" s="1"/>
    </row>
    <row r="12" spans="1:18" s="114" customFormat="1" ht="29.4" thickBot="1">
      <c r="A12" s="105" t="s">
        <v>92</v>
      </c>
      <c r="B12" s="128" t="s">
        <v>93</v>
      </c>
      <c r="C12" s="106" t="s">
        <v>94</v>
      </c>
      <c r="D12" s="106" t="s">
        <v>95</v>
      </c>
      <c r="E12" s="128" t="s">
        <v>96</v>
      </c>
      <c r="F12" s="106"/>
      <c r="G12" s="129" t="s">
        <v>97</v>
      </c>
      <c r="H12" s="129" t="s">
        <v>98</v>
      </c>
      <c r="I12" s="130" t="s">
        <v>99</v>
      </c>
      <c r="J12" s="128" t="s">
        <v>100</v>
      </c>
      <c r="K12" s="105" t="s">
        <v>101</v>
      </c>
      <c r="L12" s="105" t="s">
        <v>101</v>
      </c>
    </row>
    <row r="13" spans="1:18" s="114" customFormat="1">
      <c r="A13" s="131"/>
      <c r="B13" s="131" t="s">
        <v>102</v>
      </c>
      <c r="C13" s="131" t="s">
        <v>103</v>
      </c>
      <c r="D13" s="131" t="s">
        <v>103</v>
      </c>
      <c r="E13" s="131" t="s">
        <v>104</v>
      </c>
      <c r="F13" s="131"/>
      <c r="G13" s="131"/>
      <c r="H13" s="131" t="s">
        <v>105</v>
      </c>
      <c r="I13" s="131"/>
      <c r="J13" s="132" t="s">
        <v>106</v>
      </c>
      <c r="K13" s="132" t="s">
        <v>5</v>
      </c>
      <c r="L13" s="132" t="s">
        <v>102</v>
      </c>
      <c r="N13" s="133" t="s">
        <v>107</v>
      </c>
      <c r="O13" s="134"/>
      <c r="P13" s="135"/>
    </row>
    <row r="14" spans="1:18" s="114" customFormat="1">
      <c r="A14" s="110" t="s">
        <v>108</v>
      </c>
      <c r="B14" s="67">
        <v>50</v>
      </c>
      <c r="C14" s="67">
        <v>10.865</v>
      </c>
      <c r="D14" s="67">
        <v>2.5</v>
      </c>
      <c r="E14" s="217">
        <f>H2</f>
        <v>25</v>
      </c>
      <c r="F14" s="110"/>
      <c r="G14" s="136">
        <f>H3</f>
        <v>280</v>
      </c>
      <c r="H14" s="137">
        <f>L14/E14</f>
        <v>150.22224</v>
      </c>
      <c r="I14" s="138">
        <v>0.9</v>
      </c>
      <c r="J14" s="138">
        <v>27</v>
      </c>
      <c r="K14" s="300">
        <f>H1</f>
        <v>3380</v>
      </c>
      <c r="L14" s="67">
        <f>ROUND(K14/I14,3)</f>
        <v>3755.556</v>
      </c>
      <c r="N14" s="139" t="s">
        <v>109</v>
      </c>
      <c r="O14" s="140"/>
      <c r="P14" s="141"/>
    </row>
    <row r="15" spans="1:18" s="114" customFormat="1">
      <c r="A15" s="142"/>
      <c r="B15" s="113"/>
      <c r="C15" s="113"/>
      <c r="D15" s="113"/>
      <c r="E15" s="143">
        <f>E14/3600</f>
        <v>6.9444444444444441E-3</v>
      </c>
      <c r="F15" s="142" t="s">
        <v>110</v>
      </c>
      <c r="G15" s="142"/>
      <c r="H15" s="144"/>
      <c r="I15" s="145"/>
      <c r="J15" s="146"/>
      <c r="K15" s="146"/>
      <c r="L15" s="113"/>
      <c r="N15" s="139"/>
      <c r="O15" s="140"/>
      <c r="P15" s="141"/>
    </row>
    <row r="16" spans="1:18">
      <c r="A16" s="147" t="s">
        <v>111</v>
      </c>
      <c r="B16" s="109"/>
      <c r="C16" s="148" t="s">
        <v>112</v>
      </c>
      <c r="D16" s="149" t="s">
        <v>110</v>
      </c>
      <c r="E16" s="122" t="s">
        <v>113</v>
      </c>
      <c r="G16" s="9"/>
      <c r="H16" s="9"/>
      <c r="I16" s="150"/>
      <c r="J16" s="9"/>
      <c r="K16" s="151"/>
      <c r="L16" s="113"/>
      <c r="N16" s="152" t="s">
        <v>10</v>
      </c>
      <c r="O16" s="132" t="s">
        <v>75</v>
      </c>
      <c r="P16" s="153" t="s">
        <v>114</v>
      </c>
      <c r="Q16" s="111" t="s">
        <v>115</v>
      </c>
      <c r="R16" s="111" t="s">
        <v>116</v>
      </c>
    </row>
    <row r="17" spans="1:18" ht="15" thickBot="1">
      <c r="A17" s="410" t="s">
        <v>117</v>
      </c>
      <c r="B17" s="411"/>
      <c r="C17" s="154">
        <v>0.06</v>
      </c>
      <c r="D17" s="155">
        <f>E15</f>
        <v>6.9444444444444441E-3</v>
      </c>
      <c r="E17" s="156">
        <f>(4*D17)/(3.14*C17*C17)</f>
        <v>2.4573405677439646</v>
      </c>
      <c r="N17" s="157" t="s">
        <v>118</v>
      </c>
      <c r="O17" s="158">
        <f>Q17/R17</f>
        <v>1.8345171892073502E-2</v>
      </c>
      <c r="P17" s="159">
        <f>J49</f>
        <v>9.9210701333243509</v>
      </c>
      <c r="Q17" s="160">
        <f>P17*1000</f>
        <v>9921.0701333243505</v>
      </c>
      <c r="R17" s="161">
        <f>$H$14*3600</f>
        <v>540800.06400000001</v>
      </c>
    </row>
    <row r="18" spans="1:18">
      <c r="A18" s="162" t="s">
        <v>171</v>
      </c>
      <c r="B18" s="83"/>
      <c r="C18" s="83"/>
      <c r="D18" s="83"/>
      <c r="E18" s="83"/>
      <c r="F18" s="163"/>
      <c r="G18" s="163"/>
      <c r="H18" s="163"/>
      <c r="I18" s="163"/>
      <c r="J18" s="163"/>
      <c r="K18" s="163"/>
      <c r="L18" s="164"/>
      <c r="N18" s="157" t="s">
        <v>119</v>
      </c>
      <c r="O18" s="158">
        <f>Q18/R18</f>
        <v>6.9444444444444447E-4</v>
      </c>
      <c r="P18" s="159">
        <f>K21/1000</f>
        <v>0.37555560000000004</v>
      </c>
      <c r="Q18" s="160">
        <f>P18*1000</f>
        <v>375.55560000000003</v>
      </c>
      <c r="R18" s="161">
        <f>$H$14*3600</f>
        <v>540800.06400000001</v>
      </c>
    </row>
    <row r="19" spans="1:18" ht="15.6">
      <c r="A19" s="165" t="s">
        <v>120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N19" s="157" t="s">
        <v>121</v>
      </c>
      <c r="O19" s="166">
        <f>Q19/R19</f>
        <v>6.9444444444444444E-5</v>
      </c>
      <c r="P19" s="159">
        <f>L21/1000</f>
        <v>3.7555560000000002E-2</v>
      </c>
      <c r="Q19" s="160">
        <f>P19*1000</f>
        <v>37.55556</v>
      </c>
      <c r="R19" s="161">
        <f>$H$14*3600</f>
        <v>540800.06400000001</v>
      </c>
    </row>
    <row r="20" spans="1:18" ht="15" thickBot="1">
      <c r="A20" s="167"/>
      <c r="B20" s="83"/>
      <c r="C20" s="83"/>
      <c r="D20" s="83"/>
      <c r="E20" s="83"/>
      <c r="F20" s="83"/>
      <c r="G20" s="83"/>
      <c r="H20" s="83"/>
      <c r="I20" s="83"/>
      <c r="J20" s="83"/>
      <c r="K20" s="132" t="s">
        <v>122</v>
      </c>
      <c r="L20" s="153" t="s">
        <v>123</v>
      </c>
      <c r="N20" s="168" t="s">
        <v>124</v>
      </c>
      <c r="O20" s="169">
        <f>Q20/R20</f>
        <v>5.5035515676220498E-4</v>
      </c>
      <c r="P20" s="170">
        <f>E88</f>
        <v>0.2976321039997305</v>
      </c>
      <c r="Q20" s="160">
        <f>P20*1000</f>
        <v>297.63210399973048</v>
      </c>
      <c r="R20" s="161">
        <f>$H$14*3600</f>
        <v>540800.06400000001</v>
      </c>
    </row>
    <row r="21" spans="1:18">
      <c r="A21" s="167"/>
      <c r="B21" s="83"/>
      <c r="C21" s="83"/>
      <c r="D21" s="83"/>
      <c r="E21" s="83"/>
      <c r="F21" s="83"/>
      <c r="G21" s="83"/>
      <c r="H21" s="83"/>
      <c r="I21" s="83"/>
      <c r="J21" s="83"/>
      <c r="K21" s="221">
        <f>J23*K25*J24*J26</f>
        <v>375.55560000000003</v>
      </c>
      <c r="L21" s="222">
        <f>J23*L25*J24*J26</f>
        <v>37.55556</v>
      </c>
      <c r="N21" s="167"/>
      <c r="O21" s="83"/>
      <c r="P21" s="84"/>
    </row>
    <row r="22" spans="1:18" ht="15" thickBot="1">
      <c r="A22" s="16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167"/>
      <c r="O22" s="83"/>
      <c r="P22" s="84"/>
    </row>
    <row r="23" spans="1:18">
      <c r="A23" s="412" t="s">
        <v>125</v>
      </c>
      <c r="B23" s="413"/>
      <c r="C23" s="413"/>
      <c r="D23" s="413"/>
      <c r="E23" s="413"/>
      <c r="F23" s="413"/>
      <c r="G23" s="413"/>
      <c r="H23" s="413"/>
      <c r="I23" s="413"/>
      <c r="J23" s="172">
        <v>1E-3</v>
      </c>
      <c r="K23" s="83"/>
      <c r="L23" s="84"/>
      <c r="N23" s="173" t="s">
        <v>126</v>
      </c>
      <c r="O23" s="174"/>
      <c r="P23" s="175"/>
    </row>
    <row r="24" spans="1:18" ht="16.2">
      <c r="A24" s="412" t="s">
        <v>127</v>
      </c>
      <c r="B24" s="413"/>
      <c r="C24" s="413"/>
      <c r="D24" s="413"/>
      <c r="E24" s="413"/>
      <c r="F24" s="413"/>
      <c r="G24" s="413"/>
      <c r="H24" s="413"/>
      <c r="I24" s="413"/>
      <c r="J24" s="176">
        <f>L14</f>
        <v>3755.556</v>
      </c>
      <c r="K24" s="67" t="s">
        <v>128</v>
      </c>
      <c r="L24" s="177" t="s">
        <v>129</v>
      </c>
      <c r="N24" s="152" t="s">
        <v>10</v>
      </c>
      <c r="O24" s="132" t="s">
        <v>75</v>
      </c>
      <c r="P24" s="153" t="s">
        <v>114</v>
      </c>
      <c r="Q24" s="111" t="s">
        <v>115</v>
      </c>
      <c r="R24" s="111" t="s">
        <v>130</v>
      </c>
    </row>
    <row r="25" spans="1:18" ht="16.2">
      <c r="A25" s="414" t="s">
        <v>131</v>
      </c>
      <c r="B25" s="415"/>
      <c r="C25" s="415"/>
      <c r="D25" s="415"/>
      <c r="E25" s="415"/>
      <c r="F25" s="415"/>
      <c r="G25" s="415"/>
      <c r="H25" s="415"/>
      <c r="I25" s="415"/>
      <c r="J25" s="416"/>
      <c r="K25" s="67">
        <f>H9</f>
        <v>100</v>
      </c>
      <c r="L25" s="177">
        <f>H10</f>
        <v>10</v>
      </c>
      <c r="N25" s="157" t="s">
        <v>118</v>
      </c>
      <c r="O25" s="178">
        <f>Q25/R25</f>
        <v>1.3990269245071903E-5</v>
      </c>
      <c r="P25" s="159">
        <f>J58</f>
        <v>0.44149932072828107</v>
      </c>
      <c r="Q25" s="160">
        <f>P25*1000</f>
        <v>441.49932072828108</v>
      </c>
      <c r="R25" s="8">
        <v>31557600</v>
      </c>
    </row>
    <row r="26" spans="1:18" ht="15" thickBot="1">
      <c r="A26" s="417" t="s">
        <v>132</v>
      </c>
      <c r="B26" s="418"/>
      <c r="C26" s="418"/>
      <c r="D26" s="418"/>
      <c r="E26" s="418"/>
      <c r="F26" s="418"/>
      <c r="G26" s="418"/>
      <c r="H26" s="418"/>
      <c r="I26" s="418"/>
      <c r="J26" s="179">
        <v>1</v>
      </c>
      <c r="K26" s="180"/>
      <c r="L26" s="181"/>
      <c r="N26" s="157" t="s">
        <v>119</v>
      </c>
      <c r="O26" s="178">
        <f>Q26/R26</f>
        <v>5.3023300003406458E-7</v>
      </c>
      <c r="P26" s="159">
        <f>K32/1000</f>
        <v>1.6732880921874999E-2</v>
      </c>
      <c r="Q26" s="160">
        <f>P26*1000</f>
        <v>16.732880921874997</v>
      </c>
      <c r="R26" s="8">
        <v>31557600</v>
      </c>
    </row>
    <row r="27" spans="1:18" ht="15" thickBot="1">
      <c r="N27" s="157" t="s">
        <v>121</v>
      </c>
      <c r="O27" s="182">
        <f>Q27/R27</f>
        <v>5.3023300003406469E-8</v>
      </c>
      <c r="P27" s="159">
        <f>L32/1000</f>
        <v>1.6732880921875E-3</v>
      </c>
      <c r="Q27" s="160">
        <f>P27*1000</f>
        <v>1.6732880921875</v>
      </c>
      <c r="R27" s="8">
        <v>31557600</v>
      </c>
    </row>
    <row r="28" spans="1:18" ht="15" thickBot="1">
      <c r="A28" s="183" t="s">
        <v>133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N28" s="168" t="s">
        <v>124</v>
      </c>
      <c r="O28" s="184">
        <f>Q28/R28</f>
        <v>4.1970807735215713E-7</v>
      </c>
      <c r="P28" s="170">
        <f>F88</f>
        <v>1.3244979621848433E-2</v>
      </c>
      <c r="Q28" s="160">
        <f>P28*1000</f>
        <v>13.244979621848433</v>
      </c>
      <c r="R28" s="8">
        <v>31557600</v>
      </c>
    </row>
    <row r="29" spans="1:18" ht="15" thickBot="1">
      <c r="A29" s="165" t="s">
        <v>134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N29" s="185"/>
      <c r="O29" s="83"/>
      <c r="P29" s="84"/>
    </row>
    <row r="30" spans="1:18">
      <c r="A30" s="16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N30" s="173" t="s">
        <v>90</v>
      </c>
      <c r="O30" s="174"/>
      <c r="P30" s="175"/>
      <c r="R30" s="186"/>
    </row>
    <row r="31" spans="1:18">
      <c r="A31" s="167"/>
      <c r="B31" s="83"/>
      <c r="C31" s="83"/>
      <c r="D31" s="83"/>
      <c r="E31" s="83"/>
      <c r="F31" s="83"/>
      <c r="G31" s="83"/>
      <c r="H31" s="83"/>
      <c r="I31" s="83"/>
      <c r="J31" s="83"/>
      <c r="K31" s="131" t="s">
        <v>122</v>
      </c>
      <c r="L31" s="187" t="s">
        <v>123</v>
      </c>
      <c r="N31" s="152" t="s">
        <v>10</v>
      </c>
      <c r="O31" s="132" t="s">
        <v>75</v>
      </c>
      <c r="P31" s="188" t="s">
        <v>114</v>
      </c>
      <c r="Q31" s="132" t="s">
        <v>5</v>
      </c>
    </row>
    <row r="32" spans="1:18">
      <c r="A32" s="167"/>
      <c r="B32" s="83"/>
      <c r="C32" s="83"/>
      <c r="D32" s="83"/>
      <c r="E32" s="83"/>
      <c r="F32" s="83"/>
      <c r="G32" s="83"/>
      <c r="H32" s="83"/>
      <c r="I32" s="83"/>
      <c r="J32" s="83"/>
      <c r="K32" s="189">
        <f>J33*J34*J35*K36*J37*J38</f>
        <v>16.732880921874997</v>
      </c>
      <c r="L32" s="190">
        <f>J33*J34*J35*L36*J37*J38</f>
        <v>1.6732880921875</v>
      </c>
      <c r="N32" s="157" t="s">
        <v>118</v>
      </c>
      <c r="O32" s="119">
        <f>O17+O25</f>
        <v>1.8359162161318575E-2</v>
      </c>
      <c r="P32" s="191">
        <f>P25+P17</f>
        <v>10.362569454052633</v>
      </c>
      <c r="Q32" s="115">
        <f>P32/1000</f>
        <v>1.0362569454052633E-2</v>
      </c>
    </row>
    <row r="33" spans="1:18">
      <c r="A33" s="407" t="s">
        <v>125</v>
      </c>
      <c r="B33" s="408"/>
      <c r="C33" s="408"/>
      <c r="D33" s="408"/>
      <c r="E33" s="408"/>
      <c r="F33" s="408"/>
      <c r="G33" s="408"/>
      <c r="H33" s="408"/>
      <c r="I33" s="409"/>
      <c r="J33" s="192">
        <v>1E-3</v>
      </c>
      <c r="K33" s="83"/>
      <c r="L33" s="84"/>
      <c r="N33" s="157" t="s">
        <v>119</v>
      </c>
      <c r="O33" s="119">
        <f>O18+O26</f>
        <v>6.9497467744447856E-4</v>
      </c>
      <c r="P33" s="191">
        <f>P18+P26</f>
        <v>0.39228848092187507</v>
      </c>
      <c r="Q33" s="75">
        <f t="shared" ref="Q33:Q35" si="0">P33/1000</f>
        <v>3.9228848092187505E-4</v>
      </c>
      <c r="R33" t="s">
        <v>135</v>
      </c>
    </row>
    <row r="34" spans="1:18">
      <c r="A34" s="407" t="s">
        <v>136</v>
      </c>
      <c r="B34" s="408"/>
      <c r="C34" s="408"/>
      <c r="D34" s="408"/>
      <c r="E34" s="408"/>
      <c r="F34" s="408"/>
      <c r="G34" s="408"/>
      <c r="H34" s="408"/>
      <c r="I34" s="409"/>
      <c r="J34" s="109">
        <f>H4</f>
        <v>365</v>
      </c>
      <c r="K34" s="83"/>
      <c r="L34" s="84"/>
      <c r="N34" s="157" t="s">
        <v>121</v>
      </c>
      <c r="O34" s="119">
        <f>O19+O27</f>
        <v>6.9497467744447845E-5</v>
      </c>
      <c r="P34" s="191">
        <f>P19+P27</f>
        <v>3.9228848092187504E-2</v>
      </c>
      <c r="Q34" s="75">
        <f t="shared" si="0"/>
        <v>3.9228848092187506E-5</v>
      </c>
      <c r="R34" t="s">
        <v>135</v>
      </c>
    </row>
    <row r="35" spans="1:18" ht="17.399999999999999" thickBot="1">
      <c r="A35" s="407" t="s">
        <v>137</v>
      </c>
      <c r="B35" s="408"/>
      <c r="C35" s="408"/>
      <c r="D35" s="408"/>
      <c r="E35" s="408"/>
      <c r="F35" s="408"/>
      <c r="G35" s="408"/>
      <c r="H35" s="408"/>
      <c r="I35" s="409"/>
      <c r="J35" s="158">
        <f>J41</f>
        <v>10.66128125</v>
      </c>
      <c r="K35" s="83"/>
      <c r="L35" s="84"/>
      <c r="N35" s="168" t="s">
        <v>124</v>
      </c>
      <c r="O35" s="223">
        <f>O20+O28</f>
        <v>5.5077486483955714E-4</v>
      </c>
      <c r="P35" s="194">
        <f>P20+P28</f>
        <v>0.31087708362157895</v>
      </c>
      <c r="Q35" s="75">
        <f t="shared" si="0"/>
        <v>3.1087708362157894E-4</v>
      </c>
      <c r="R35" t="s">
        <v>135</v>
      </c>
    </row>
    <row r="36" spans="1:18" ht="16.8">
      <c r="A36" s="407" t="s">
        <v>138</v>
      </c>
      <c r="B36" s="408"/>
      <c r="C36" s="408"/>
      <c r="D36" s="408"/>
      <c r="E36" s="408"/>
      <c r="F36" s="408"/>
      <c r="G36" s="408"/>
      <c r="H36" s="408"/>
      <c r="I36" s="408"/>
      <c r="J36" s="409"/>
      <c r="K36" s="192">
        <f>K25</f>
        <v>100</v>
      </c>
      <c r="L36" s="195">
        <f>L25</f>
        <v>10</v>
      </c>
    </row>
    <row r="37" spans="1:18" ht="15.6">
      <c r="A37" s="407" t="s">
        <v>139</v>
      </c>
      <c r="B37" s="408"/>
      <c r="C37" s="408"/>
      <c r="D37" s="408"/>
      <c r="E37" s="408"/>
      <c r="F37" s="408"/>
      <c r="G37" s="408"/>
      <c r="H37" s="408"/>
      <c r="I37" s="409"/>
      <c r="J37" s="109">
        <f>H8</f>
        <v>4.2999999999999997E-2</v>
      </c>
      <c r="K37" s="83"/>
      <c r="L37" s="84"/>
      <c r="N37" s="196"/>
      <c r="O37" s="142"/>
      <c r="P37" s="142"/>
    </row>
    <row r="38" spans="1:18">
      <c r="A38" s="407" t="s">
        <v>140</v>
      </c>
      <c r="B38" s="408"/>
      <c r="C38" s="408"/>
      <c r="D38" s="408"/>
      <c r="E38" s="408"/>
      <c r="F38" s="408"/>
      <c r="G38" s="408"/>
      <c r="H38" s="408"/>
      <c r="I38" s="409"/>
      <c r="J38" s="172">
        <v>1</v>
      </c>
      <c r="K38" s="83"/>
      <c r="L38" s="84"/>
      <c r="N38" s="197"/>
      <c r="O38" s="198"/>
      <c r="P38" s="9"/>
      <c r="Q38" s="7"/>
      <c r="R38" s="7"/>
    </row>
    <row r="39" spans="1:18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83"/>
      <c r="L39" s="84"/>
      <c r="N39" s="201"/>
      <c r="O39" s="202"/>
      <c r="P39" s="142"/>
    </row>
    <row r="40" spans="1:18" ht="15.6">
      <c r="A40" s="419" t="s">
        <v>141</v>
      </c>
      <c r="B40" s="420"/>
      <c r="C40" s="420"/>
      <c r="D40" s="420"/>
      <c r="E40" s="420"/>
      <c r="F40" s="420"/>
      <c r="G40" s="420"/>
      <c r="H40" s="420"/>
      <c r="I40" s="420"/>
      <c r="J40" s="421"/>
      <c r="K40" s="83"/>
      <c r="L40" s="84"/>
      <c r="N40" s="203"/>
      <c r="O40" s="204"/>
      <c r="P40" s="107"/>
    </row>
    <row r="41" spans="1:18" ht="16.8">
      <c r="A41" s="419" t="s">
        <v>142</v>
      </c>
      <c r="B41" s="420"/>
      <c r="C41" s="420"/>
      <c r="D41" s="420"/>
      <c r="E41" s="420"/>
      <c r="F41" s="420"/>
      <c r="G41" s="420"/>
      <c r="H41" s="420"/>
      <c r="I41" s="421"/>
      <c r="J41" s="158">
        <f>3.14*(J42*J42)*(J43-(J43*J44))/4</f>
        <v>10.66128125</v>
      </c>
      <c r="K41" s="83"/>
      <c r="L41" s="84"/>
      <c r="N41" s="201"/>
      <c r="O41" s="202"/>
      <c r="P41" s="107"/>
    </row>
    <row r="42" spans="1:18">
      <c r="A42" s="407" t="s">
        <v>143</v>
      </c>
      <c r="B42" s="408"/>
      <c r="C42" s="408"/>
      <c r="D42" s="408"/>
      <c r="E42" s="408"/>
      <c r="F42" s="408"/>
      <c r="G42" s="408"/>
      <c r="H42" s="408"/>
      <c r="I42" s="409"/>
      <c r="J42" s="57">
        <f>D14</f>
        <v>2.5</v>
      </c>
      <c r="K42" s="83"/>
      <c r="L42" s="84"/>
      <c r="N42" s="9"/>
      <c r="O42" s="201"/>
      <c r="P42" s="107"/>
    </row>
    <row r="43" spans="1:18" ht="15.6">
      <c r="A43" s="407" t="s">
        <v>144</v>
      </c>
      <c r="B43" s="408"/>
      <c r="C43" s="408"/>
      <c r="D43" s="408"/>
      <c r="E43" s="408"/>
      <c r="F43" s="408"/>
      <c r="G43" s="408"/>
      <c r="H43" s="408"/>
      <c r="I43" s="409"/>
      <c r="J43" s="57">
        <f>C14</f>
        <v>10.865</v>
      </c>
      <c r="K43" s="83"/>
      <c r="L43" s="84"/>
      <c r="N43" s="196"/>
      <c r="O43" s="201"/>
      <c r="P43" s="107"/>
    </row>
    <row r="44" spans="1:18" ht="15" thickBot="1">
      <c r="A44" s="422" t="s">
        <v>145</v>
      </c>
      <c r="B44" s="423"/>
      <c r="C44" s="423"/>
      <c r="D44" s="423"/>
      <c r="E44" s="423"/>
      <c r="F44" s="423"/>
      <c r="G44" s="423"/>
      <c r="H44" s="423"/>
      <c r="I44" s="424"/>
      <c r="J44" s="301">
        <f>H5</f>
        <v>0.8</v>
      </c>
      <c r="K44" s="205"/>
      <c r="L44" s="206"/>
      <c r="N44" s="201"/>
      <c r="O44" s="107"/>
      <c r="P44" s="107"/>
    </row>
    <row r="45" spans="1:18" ht="15" thickBot="1">
      <c r="N45" s="201"/>
      <c r="O45" s="107"/>
      <c r="P45" s="107"/>
    </row>
    <row r="46" spans="1:18">
      <c r="A46" s="183" t="s">
        <v>235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N46" s="201"/>
      <c r="O46" s="107"/>
      <c r="P46" s="107"/>
    </row>
    <row r="47" spans="1:18">
      <c r="A47" s="165" t="s">
        <v>146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N47" s="201"/>
      <c r="O47" s="107"/>
      <c r="P47" s="107"/>
    </row>
    <row r="48" spans="1:18" ht="15" thickBot="1">
      <c r="A48" s="16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N48" s="9"/>
      <c r="O48" s="9"/>
      <c r="P48" s="9"/>
    </row>
    <row r="49" spans="1:15" ht="15" thickBot="1">
      <c r="A49" s="167"/>
      <c r="B49" s="207" t="s">
        <v>147</v>
      </c>
      <c r="C49" s="83"/>
      <c r="D49" s="83"/>
      <c r="E49" s="83"/>
      <c r="F49" s="83"/>
      <c r="G49" s="83"/>
      <c r="H49" s="83"/>
      <c r="I49" s="83"/>
      <c r="J49" s="208">
        <f>J51*J52*1</f>
        <v>9.9210701333243509</v>
      </c>
      <c r="K49" s="83"/>
      <c r="L49" s="84"/>
      <c r="O49" t="s">
        <v>148</v>
      </c>
    </row>
    <row r="50" spans="1:15">
      <c r="A50" s="16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5" ht="16.2">
      <c r="A51" s="407" t="s">
        <v>127</v>
      </c>
      <c r="B51" s="408"/>
      <c r="C51" s="408"/>
      <c r="D51" s="408"/>
      <c r="E51" s="408"/>
      <c r="F51" s="408"/>
      <c r="G51" s="408"/>
      <c r="H51" s="408"/>
      <c r="I51" s="409"/>
      <c r="J51" s="209">
        <f>J24</f>
        <v>3755.556</v>
      </c>
      <c r="K51" s="83"/>
      <c r="L51" s="84"/>
    </row>
    <row r="52" spans="1:15" ht="16.8">
      <c r="A52" s="407" t="s">
        <v>149</v>
      </c>
      <c r="B52" s="408"/>
      <c r="C52" s="408"/>
      <c r="D52" s="408"/>
      <c r="E52" s="408"/>
      <c r="F52" s="408"/>
      <c r="G52" s="408"/>
      <c r="H52" s="408"/>
      <c r="I52" s="409"/>
      <c r="J52" s="158">
        <f>J69</f>
        <v>2.6417047524585841E-3</v>
      </c>
      <c r="K52" s="83"/>
      <c r="L52" s="84"/>
    </row>
    <row r="53" spans="1:15" ht="15" thickBot="1">
      <c r="A53" s="428" t="s">
        <v>150</v>
      </c>
      <c r="B53" s="429"/>
      <c r="C53" s="429"/>
      <c r="D53" s="429"/>
      <c r="E53" s="429"/>
      <c r="F53" s="429"/>
      <c r="G53" s="429"/>
      <c r="H53" s="429"/>
      <c r="I53" s="430"/>
      <c r="J53" s="179">
        <v>1</v>
      </c>
      <c r="K53" s="205"/>
      <c r="L53" s="206"/>
    </row>
    <row r="54" spans="1:15" ht="15" thickBot="1"/>
    <row r="55" spans="1:15">
      <c r="A55" s="183" t="s">
        <v>236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5" ht="15.6">
      <c r="A56" s="165" t="s">
        <v>151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1:15" ht="15" thickBot="1">
      <c r="A57" s="1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5" ht="15" thickBot="1">
      <c r="A58" s="167"/>
      <c r="B58" s="83"/>
      <c r="C58" s="83"/>
      <c r="D58" s="83"/>
      <c r="E58" s="83"/>
      <c r="F58" s="83"/>
      <c r="G58" s="83"/>
      <c r="H58" s="83"/>
      <c r="I58" s="83"/>
      <c r="J58" s="210">
        <f>J60*J61*J62*J63*J64*J65</f>
        <v>0.44149932072828107</v>
      </c>
      <c r="K58" s="83"/>
      <c r="L58" s="84"/>
    </row>
    <row r="59" spans="1:15">
      <c r="A59" s="16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5">
      <c r="A60" s="431" t="s">
        <v>136</v>
      </c>
      <c r="B60" s="432"/>
      <c r="C60" s="432"/>
      <c r="D60" s="432"/>
      <c r="E60" s="432"/>
      <c r="F60" s="432"/>
      <c r="G60" s="432"/>
      <c r="H60" s="432"/>
      <c r="I60" s="433"/>
      <c r="J60" s="109">
        <f>J34</f>
        <v>365</v>
      </c>
      <c r="K60" s="83"/>
      <c r="L60" s="84"/>
    </row>
    <row r="61" spans="1:15" ht="16.2">
      <c r="A61" s="431" t="s">
        <v>152</v>
      </c>
      <c r="B61" s="432"/>
      <c r="C61" s="432"/>
      <c r="D61" s="432"/>
      <c r="E61" s="432"/>
      <c r="F61" s="432"/>
      <c r="G61" s="432"/>
      <c r="H61" s="432"/>
      <c r="I61" s="433"/>
      <c r="J61" s="158">
        <f>J41</f>
        <v>10.66128125</v>
      </c>
      <c r="K61" s="83"/>
      <c r="L61" s="84"/>
    </row>
    <row r="62" spans="1:15" ht="16.2">
      <c r="A62" s="431" t="s">
        <v>153</v>
      </c>
      <c r="B62" s="432"/>
      <c r="C62" s="432"/>
      <c r="D62" s="432"/>
      <c r="E62" s="432"/>
      <c r="F62" s="432"/>
      <c r="G62" s="432"/>
      <c r="H62" s="432"/>
      <c r="I62" s="433"/>
      <c r="J62" s="158">
        <f>J69</f>
        <v>2.6417047524585841E-3</v>
      </c>
      <c r="K62" s="83"/>
      <c r="L62" s="84"/>
    </row>
    <row r="63" spans="1:15" ht="15.6">
      <c r="A63" s="431" t="s">
        <v>139</v>
      </c>
      <c r="B63" s="432"/>
      <c r="C63" s="432"/>
      <c r="D63" s="432"/>
      <c r="E63" s="432"/>
      <c r="F63" s="432"/>
      <c r="G63" s="432"/>
      <c r="H63" s="432"/>
      <c r="I63" s="433"/>
      <c r="J63" s="172">
        <f>J37</f>
        <v>4.2999999999999997E-2</v>
      </c>
      <c r="K63" s="83"/>
      <c r="L63" s="84"/>
    </row>
    <row r="64" spans="1:15" ht="15.6">
      <c r="A64" s="431" t="s">
        <v>154</v>
      </c>
      <c r="B64" s="432"/>
      <c r="C64" s="432"/>
      <c r="D64" s="432"/>
      <c r="E64" s="432"/>
      <c r="F64" s="432"/>
      <c r="G64" s="432"/>
      <c r="H64" s="432"/>
      <c r="I64" s="433"/>
      <c r="J64" s="158">
        <f>J76</f>
        <v>0.99879196930322178</v>
      </c>
      <c r="K64" s="83"/>
      <c r="L64" s="84"/>
    </row>
    <row r="65" spans="1:12">
      <c r="A65" s="431" t="s">
        <v>155</v>
      </c>
      <c r="B65" s="432"/>
      <c r="C65" s="432"/>
      <c r="D65" s="432"/>
      <c r="E65" s="432"/>
      <c r="F65" s="432"/>
      <c r="G65" s="432"/>
      <c r="H65" s="432"/>
      <c r="I65" s="433"/>
      <c r="J65" s="172">
        <v>1</v>
      </c>
      <c r="K65" s="83"/>
      <c r="L65" s="84"/>
    </row>
    <row r="66" spans="1:12">
      <c r="A66" s="2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4"/>
    </row>
    <row r="67" spans="1:12" ht="15">
      <c r="A67" s="425" t="s">
        <v>237</v>
      </c>
      <c r="B67" s="434"/>
      <c r="C67" s="434"/>
      <c r="D67" s="434"/>
      <c r="E67" s="434"/>
      <c r="F67" s="434"/>
      <c r="G67" s="434"/>
      <c r="H67" s="434"/>
      <c r="I67" s="434"/>
      <c r="J67" s="435"/>
      <c r="K67" s="83"/>
      <c r="L67" s="84"/>
    </row>
    <row r="68" spans="1:12" ht="15" thickBot="1">
      <c r="A68" s="2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ht="15" thickBot="1">
      <c r="A69" s="212"/>
      <c r="B69" s="83"/>
      <c r="C69" s="83"/>
      <c r="D69" s="83"/>
      <c r="E69" s="83"/>
      <c r="F69" s="83"/>
      <c r="G69" s="83"/>
      <c r="H69" s="83"/>
      <c r="I69" s="83"/>
      <c r="J69" s="213">
        <f>(J71*J72)/(J73*J74)</f>
        <v>2.6417047524585841E-3</v>
      </c>
      <c r="K69" s="83"/>
      <c r="L69" s="84"/>
    </row>
    <row r="70" spans="1:12">
      <c r="A70" s="2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</row>
    <row r="71" spans="1:12">
      <c r="A71" s="407" t="s">
        <v>156</v>
      </c>
      <c r="B71" s="408"/>
      <c r="C71" s="408"/>
      <c r="D71" s="408"/>
      <c r="E71" s="408"/>
      <c r="F71" s="408"/>
      <c r="G71" s="408"/>
      <c r="H71" s="408"/>
      <c r="I71" s="409"/>
      <c r="J71" s="109">
        <f>G14</f>
        <v>280</v>
      </c>
      <c r="K71" s="83"/>
      <c r="L71" s="84"/>
    </row>
    <row r="72" spans="1:12">
      <c r="A72" s="214" t="s">
        <v>157</v>
      </c>
      <c r="B72" s="172"/>
      <c r="C72" s="172"/>
      <c r="D72" s="172"/>
      <c r="E72" s="172"/>
      <c r="F72" s="172"/>
      <c r="G72" s="172"/>
      <c r="H72" s="172"/>
      <c r="I72" s="172"/>
      <c r="J72" s="57">
        <f>H6</f>
        <v>2.1999999999999999E-2</v>
      </c>
      <c r="K72" s="83"/>
      <c r="L72" s="84"/>
    </row>
    <row r="73" spans="1:12" ht="16.2">
      <c r="A73" s="407" t="s">
        <v>158</v>
      </c>
      <c r="B73" s="408"/>
      <c r="C73" s="408"/>
      <c r="D73" s="408"/>
      <c r="E73" s="408"/>
      <c r="F73" s="408"/>
      <c r="G73" s="408"/>
      <c r="H73" s="408"/>
      <c r="I73" s="409"/>
      <c r="J73" s="172">
        <v>8.3140000000000001</v>
      </c>
      <c r="K73" s="83"/>
      <c r="L73" s="84"/>
    </row>
    <row r="74" spans="1:12" ht="15.6">
      <c r="A74" s="407" t="s">
        <v>159</v>
      </c>
      <c r="B74" s="408"/>
      <c r="C74" s="408"/>
      <c r="D74" s="408"/>
      <c r="E74" s="408"/>
      <c r="F74" s="408"/>
      <c r="G74" s="408"/>
      <c r="H74" s="408"/>
      <c r="I74" s="409"/>
      <c r="J74" s="57">
        <f>H7</f>
        <v>280.47000000000003</v>
      </c>
      <c r="K74" s="83"/>
      <c r="L74" s="84"/>
    </row>
    <row r="75" spans="1:12" ht="16.2" thickBot="1">
      <c r="A75" s="425" t="s">
        <v>160</v>
      </c>
      <c r="B75" s="426"/>
      <c r="C75" s="426"/>
      <c r="D75" s="426"/>
      <c r="E75" s="426"/>
      <c r="F75" s="426"/>
      <c r="G75" s="426"/>
      <c r="H75" s="426"/>
      <c r="I75" s="427"/>
      <c r="J75" s="215"/>
      <c r="K75" s="83"/>
      <c r="L75" s="84"/>
    </row>
    <row r="76" spans="1:12" ht="16.2" thickBot="1">
      <c r="A76" s="439" t="s">
        <v>161</v>
      </c>
      <c r="B76" s="440"/>
      <c r="C76" s="440"/>
      <c r="D76" s="440"/>
      <c r="E76" s="440"/>
      <c r="F76" s="440"/>
      <c r="G76" s="440"/>
      <c r="H76" s="440"/>
      <c r="I76" s="441"/>
      <c r="J76" s="213">
        <f>1/(1+(J77*J78*(J79-(J79*J80))))</f>
        <v>0.99879196930322178</v>
      </c>
      <c r="K76" s="83"/>
      <c r="L76" s="84"/>
    </row>
    <row r="77" spans="1:12">
      <c r="A77" s="407" t="s">
        <v>162</v>
      </c>
      <c r="B77" s="408"/>
      <c r="C77" s="408"/>
      <c r="D77" s="408"/>
      <c r="E77" s="408"/>
      <c r="F77" s="408"/>
      <c r="G77" s="408"/>
      <c r="H77" s="408"/>
      <c r="I77" s="409"/>
      <c r="J77" s="216">
        <v>2.53E-2</v>
      </c>
      <c r="K77" s="83"/>
      <c r="L77" s="84"/>
    </row>
    <row r="78" spans="1:12">
      <c r="A78" s="214" t="s">
        <v>157</v>
      </c>
      <c r="B78" s="172"/>
      <c r="C78" s="172"/>
      <c r="D78" s="172"/>
      <c r="E78" s="172"/>
      <c r="F78" s="172"/>
      <c r="G78" s="172"/>
      <c r="H78" s="172"/>
      <c r="I78" s="172"/>
      <c r="J78" s="109">
        <f>J72</f>
        <v>2.1999999999999999E-2</v>
      </c>
      <c r="K78" s="83"/>
      <c r="L78" s="84"/>
    </row>
    <row r="79" spans="1:12" ht="15.6">
      <c r="A79" s="407" t="s">
        <v>144</v>
      </c>
      <c r="B79" s="408"/>
      <c r="C79" s="408"/>
      <c r="D79" s="408"/>
      <c r="E79" s="408"/>
      <c r="F79" s="408"/>
      <c r="G79" s="408"/>
      <c r="H79" s="408"/>
      <c r="I79" s="409"/>
      <c r="J79" s="172">
        <f>J43</f>
        <v>10.865</v>
      </c>
      <c r="K79" s="83"/>
      <c r="L79" s="84"/>
    </row>
    <row r="80" spans="1:12" ht="15" thickBot="1">
      <c r="A80" s="428" t="s">
        <v>163</v>
      </c>
      <c r="B80" s="429"/>
      <c r="C80" s="429"/>
      <c r="D80" s="429"/>
      <c r="E80" s="429"/>
      <c r="F80" s="429"/>
      <c r="G80" s="429"/>
      <c r="H80" s="429"/>
      <c r="I80" s="430"/>
      <c r="J80" s="179">
        <f>J44</f>
        <v>0.8</v>
      </c>
      <c r="K80" s="205"/>
      <c r="L80" s="206"/>
    </row>
    <row r="81" spans="1:16" ht="15" thickBot="1"/>
    <row r="82" spans="1:16">
      <c r="A82" s="183" t="s">
        <v>164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</row>
    <row r="83" spans="1:16">
      <c r="A83" s="211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>
      <c r="A84" s="211" t="s">
        <v>166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</row>
    <row r="85" spans="1:16">
      <c r="A85" s="21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</row>
    <row r="86" spans="1:16">
      <c r="A86" s="2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</row>
    <row r="87" spans="1:16">
      <c r="A87" s="442" t="s">
        <v>167</v>
      </c>
      <c r="B87" s="443" t="s">
        <v>168</v>
      </c>
      <c r="C87" s="444"/>
      <c r="D87" s="445"/>
      <c r="E87" s="217" t="s">
        <v>169</v>
      </c>
      <c r="F87" s="217" t="s">
        <v>170</v>
      </c>
      <c r="G87" s="83"/>
      <c r="H87" s="83"/>
      <c r="I87" s="83"/>
      <c r="J87" s="83"/>
      <c r="K87" s="83"/>
      <c r="L87" s="83"/>
      <c r="M87" s="83"/>
      <c r="N87" s="83"/>
      <c r="O87" s="83"/>
      <c r="P87" s="84"/>
    </row>
    <row r="88" spans="1:16">
      <c r="A88" s="442"/>
      <c r="B88" s="446" t="s">
        <v>114</v>
      </c>
      <c r="C88" s="447"/>
      <c r="D88" s="448"/>
      <c r="E88" s="171">
        <f>A89*J49</f>
        <v>0.2976321039997305</v>
      </c>
      <c r="F88" s="218">
        <f>J58*A89</f>
        <v>1.3244979621848433E-2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ht="15" thickBot="1">
      <c r="A89" s="219">
        <v>0.03</v>
      </c>
      <c r="B89" s="436"/>
      <c r="C89" s="437"/>
      <c r="D89" s="438"/>
      <c r="E89" s="220"/>
      <c r="F89" s="220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1:16">
      <c r="B90"/>
      <c r="C90"/>
    </row>
    <row r="91" spans="1:16">
      <c r="A91"/>
    </row>
    <row r="92" spans="1:16">
      <c r="A92"/>
    </row>
  </sheetData>
  <mergeCells count="46">
    <mergeCell ref="B89:D89"/>
    <mergeCell ref="A76:I76"/>
    <mergeCell ref="A77:I77"/>
    <mergeCell ref="A79:I79"/>
    <mergeCell ref="A80:I80"/>
    <mergeCell ref="A87:A88"/>
    <mergeCell ref="B87:D87"/>
    <mergeCell ref="B88:D88"/>
    <mergeCell ref="A75:I75"/>
    <mergeCell ref="A53:I53"/>
    <mergeCell ref="A60:I60"/>
    <mergeCell ref="A61:I61"/>
    <mergeCell ref="A62:I62"/>
    <mergeCell ref="A63:I63"/>
    <mergeCell ref="A64:I64"/>
    <mergeCell ref="A65:I65"/>
    <mergeCell ref="A67:J67"/>
    <mergeCell ref="A71:I71"/>
    <mergeCell ref="A73:I73"/>
    <mergeCell ref="A74:I74"/>
    <mergeCell ref="A52:I52"/>
    <mergeCell ref="A34:I34"/>
    <mergeCell ref="A35:I35"/>
    <mergeCell ref="A36:J36"/>
    <mergeCell ref="A37:I37"/>
    <mergeCell ref="A38:I38"/>
    <mergeCell ref="A40:J40"/>
    <mergeCell ref="A41:I41"/>
    <mergeCell ref="A42:I42"/>
    <mergeCell ref="A43:I43"/>
    <mergeCell ref="A44:I44"/>
    <mergeCell ref="A51:I51"/>
    <mergeCell ref="A7:G7"/>
    <mergeCell ref="A8:G8"/>
    <mergeCell ref="A3:G3"/>
    <mergeCell ref="A33:I33"/>
    <mergeCell ref="A17:B17"/>
    <mergeCell ref="A23:I23"/>
    <mergeCell ref="A24:I24"/>
    <mergeCell ref="A25:J25"/>
    <mergeCell ref="A26:I26"/>
    <mergeCell ref="A1:G1"/>
    <mergeCell ref="A2:G2"/>
    <mergeCell ref="A4:G4"/>
    <mergeCell ref="A5:G5"/>
    <mergeCell ref="A6:G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92"/>
  <sheetViews>
    <sheetView topLeftCell="B1" zoomScaleNormal="100" workbookViewId="0">
      <selection activeCell="O7" sqref="O7"/>
    </sheetView>
  </sheetViews>
  <sheetFormatPr defaultColWidth="8.88671875" defaultRowHeight="14.4"/>
  <cols>
    <col min="1" max="1" width="13.21875" style="8" customWidth="1"/>
    <col min="2" max="2" width="9.21875" style="8" bestFit="1" customWidth="1"/>
    <col min="3" max="3" width="10.5546875" style="8" bestFit="1" customWidth="1"/>
    <col min="4" max="4" width="12.88671875" style="8" bestFit="1" customWidth="1"/>
    <col min="5" max="5" width="16.44140625" style="8" customWidth="1"/>
    <col min="6" max="6" width="12.5546875" style="8" customWidth="1"/>
    <col min="7" max="7" width="46.21875" style="8" customWidth="1"/>
    <col min="8" max="8" width="12.6640625" style="8" customWidth="1"/>
    <col min="9" max="9" width="21" style="8" customWidth="1"/>
    <col min="10" max="10" width="18.88671875" style="8" bestFit="1" customWidth="1"/>
    <col min="11" max="11" width="17.77734375" style="8" customWidth="1"/>
    <col min="12" max="12" width="21.44140625" style="8" customWidth="1"/>
    <col min="13" max="13" width="6.33203125" style="8" customWidth="1"/>
    <col min="14" max="14" width="24" style="8" customWidth="1"/>
    <col min="15" max="15" width="16.33203125" style="8" customWidth="1"/>
    <col min="16" max="16" width="13.109375" style="8" customWidth="1"/>
    <col min="17" max="18" width="13.6640625" style="8" customWidth="1"/>
    <col min="19" max="16384" width="8.88671875" style="8"/>
  </cols>
  <sheetData>
    <row r="1" spans="1:18">
      <c r="A1" s="401" t="s">
        <v>101</v>
      </c>
      <c r="B1" s="401"/>
      <c r="C1" s="401"/>
      <c r="D1" s="401"/>
      <c r="E1" s="401"/>
      <c r="F1" s="401"/>
      <c r="G1" s="401"/>
      <c r="H1" s="193">
        <f>Algandmed!F31</f>
        <v>3115</v>
      </c>
      <c r="I1" s="109" t="s">
        <v>5</v>
      </c>
    </row>
    <row r="2" spans="1:18">
      <c r="A2" s="401" t="s">
        <v>96</v>
      </c>
      <c r="B2" s="401"/>
      <c r="C2" s="401"/>
      <c r="D2" s="401"/>
      <c r="E2" s="401"/>
      <c r="F2" s="401"/>
      <c r="G2" s="401"/>
      <c r="H2" s="193">
        <v>25</v>
      </c>
      <c r="I2" s="109" t="s">
        <v>104</v>
      </c>
    </row>
    <row r="3" spans="1:18">
      <c r="A3" s="404" t="s">
        <v>97</v>
      </c>
      <c r="B3" s="405"/>
      <c r="C3" s="405"/>
      <c r="D3" s="405"/>
      <c r="E3" s="405"/>
      <c r="F3" s="405"/>
      <c r="G3" s="406"/>
      <c r="H3" s="193">
        <v>130</v>
      </c>
      <c r="I3" s="109"/>
    </row>
    <row r="4" spans="1:18">
      <c r="A4" s="402" t="s">
        <v>136</v>
      </c>
      <c r="B4" s="402"/>
      <c r="C4" s="402"/>
      <c r="D4" s="402"/>
      <c r="E4" s="402"/>
      <c r="F4" s="402"/>
      <c r="G4" s="402"/>
      <c r="H4" s="305">
        <f>Algandmed!F22</f>
        <v>365</v>
      </c>
      <c r="I4" s="303"/>
    </row>
    <row r="5" spans="1:18">
      <c r="A5" s="403" t="s">
        <v>145</v>
      </c>
      <c r="B5" s="403"/>
      <c r="C5" s="403"/>
      <c r="D5" s="403"/>
      <c r="E5" s="403"/>
      <c r="F5" s="403"/>
      <c r="G5" s="403"/>
      <c r="H5" s="306">
        <v>0.8</v>
      </c>
      <c r="I5" s="304"/>
    </row>
    <row r="6" spans="1:18">
      <c r="A6" s="402" t="s">
        <v>157</v>
      </c>
      <c r="B6" s="402"/>
      <c r="C6" s="402"/>
      <c r="D6" s="402"/>
      <c r="E6" s="402"/>
      <c r="F6" s="402"/>
      <c r="G6" s="402"/>
      <c r="H6" s="306">
        <v>7.1999999999999995E-2</v>
      </c>
      <c r="I6" s="304" t="s">
        <v>231</v>
      </c>
    </row>
    <row r="7" spans="1:18" ht="15.6">
      <c r="A7" s="402" t="s">
        <v>233</v>
      </c>
      <c r="B7" s="402"/>
      <c r="C7" s="402"/>
      <c r="D7" s="402"/>
      <c r="E7" s="402"/>
      <c r="F7" s="402"/>
      <c r="G7" s="402"/>
      <c r="H7" s="305">
        <v>280.47000000000003</v>
      </c>
      <c r="I7" s="303" t="s">
        <v>232</v>
      </c>
    </row>
    <row r="8" spans="1:18" ht="15.6">
      <c r="A8" s="402" t="s">
        <v>230</v>
      </c>
      <c r="B8" s="402"/>
      <c r="C8" s="402"/>
      <c r="D8" s="402"/>
      <c r="E8" s="402"/>
      <c r="F8" s="402"/>
      <c r="G8" s="402"/>
      <c r="H8" s="305">
        <v>4.2999999999999997E-2</v>
      </c>
      <c r="I8" s="303"/>
    </row>
    <row r="9" spans="1:18" ht="16.2">
      <c r="A9" s="259" t="s">
        <v>234</v>
      </c>
      <c r="B9" s="260"/>
      <c r="C9" s="260"/>
      <c r="D9" s="260"/>
      <c r="E9" s="260"/>
      <c r="F9" s="260"/>
      <c r="G9" s="260"/>
      <c r="H9" s="306"/>
      <c r="I9" s="308"/>
      <c r="J9" s="302"/>
    </row>
    <row r="10" spans="1:18">
      <c r="A10" s="302"/>
      <c r="B10" s="302"/>
      <c r="C10" s="302"/>
      <c r="D10" s="302"/>
      <c r="E10" s="302"/>
      <c r="F10" s="302"/>
      <c r="G10" s="307" t="s">
        <v>129</v>
      </c>
      <c r="H10" s="306"/>
      <c r="I10" s="308"/>
    </row>
    <row r="11" spans="1:18">
      <c r="A11" s="1"/>
    </row>
    <row r="12" spans="1:18" s="114" customFormat="1" ht="29.4" thickBot="1">
      <c r="A12" s="258" t="s">
        <v>92</v>
      </c>
      <c r="B12" s="264" t="s">
        <v>93</v>
      </c>
      <c r="C12" s="257" t="s">
        <v>94</v>
      </c>
      <c r="D12" s="257" t="s">
        <v>95</v>
      </c>
      <c r="E12" s="264" t="s">
        <v>96</v>
      </c>
      <c r="F12" s="257"/>
      <c r="G12" s="129" t="s">
        <v>97</v>
      </c>
      <c r="H12" s="129" t="s">
        <v>98</v>
      </c>
      <c r="I12" s="130" t="s">
        <v>99</v>
      </c>
      <c r="J12" s="264" t="s">
        <v>100</v>
      </c>
      <c r="K12" s="258" t="s">
        <v>101</v>
      </c>
      <c r="L12" s="258" t="s">
        <v>101</v>
      </c>
    </row>
    <row r="13" spans="1:18" s="114" customFormat="1">
      <c r="A13" s="263"/>
      <c r="B13" s="263" t="s">
        <v>102</v>
      </c>
      <c r="C13" s="263" t="s">
        <v>103</v>
      </c>
      <c r="D13" s="263" t="s">
        <v>103</v>
      </c>
      <c r="E13" s="263" t="s">
        <v>104</v>
      </c>
      <c r="F13" s="263"/>
      <c r="G13" s="263"/>
      <c r="H13" s="263" t="s">
        <v>105</v>
      </c>
      <c r="I13" s="263"/>
      <c r="J13" s="132" t="s">
        <v>106</v>
      </c>
      <c r="K13" s="132" t="s">
        <v>5</v>
      </c>
      <c r="L13" s="132" t="s">
        <v>102</v>
      </c>
      <c r="N13" s="133" t="s">
        <v>107</v>
      </c>
      <c r="O13" s="134"/>
      <c r="P13" s="135"/>
    </row>
    <row r="14" spans="1:18" s="114" customFormat="1">
      <c r="A14" s="110" t="s">
        <v>108</v>
      </c>
      <c r="B14" s="67">
        <v>50</v>
      </c>
      <c r="C14" s="67">
        <v>10.865</v>
      </c>
      <c r="D14" s="67">
        <v>2.5</v>
      </c>
      <c r="E14" s="217">
        <f>H2</f>
        <v>25</v>
      </c>
      <c r="F14" s="110"/>
      <c r="G14" s="136">
        <f>H3</f>
        <v>130</v>
      </c>
      <c r="H14" s="137">
        <f>L14/E14</f>
        <v>138.44443999999999</v>
      </c>
      <c r="I14" s="138">
        <v>0.9</v>
      </c>
      <c r="J14" s="138">
        <v>27</v>
      </c>
      <c r="K14" s="300">
        <f>H1</f>
        <v>3115</v>
      </c>
      <c r="L14" s="67">
        <f>ROUND(K14/I14,3)</f>
        <v>3461.1109999999999</v>
      </c>
      <c r="N14" s="139" t="s">
        <v>109</v>
      </c>
      <c r="O14" s="140"/>
      <c r="P14" s="141"/>
    </row>
    <row r="15" spans="1:18" s="114" customFormat="1">
      <c r="A15" s="142"/>
      <c r="B15" s="113"/>
      <c r="C15" s="113"/>
      <c r="D15" s="113"/>
      <c r="E15" s="143">
        <f>E14/3600</f>
        <v>6.9444444444444441E-3</v>
      </c>
      <c r="F15" s="142" t="s">
        <v>110</v>
      </c>
      <c r="G15" s="142"/>
      <c r="H15" s="144"/>
      <c r="I15" s="145"/>
      <c r="J15" s="146"/>
      <c r="K15" s="146"/>
      <c r="L15" s="113"/>
      <c r="N15" s="139"/>
      <c r="O15" s="140"/>
      <c r="P15" s="141"/>
    </row>
    <row r="16" spans="1:18">
      <c r="A16" s="147" t="s">
        <v>111</v>
      </c>
      <c r="B16" s="109"/>
      <c r="C16" s="148" t="s">
        <v>112</v>
      </c>
      <c r="D16" s="149" t="s">
        <v>110</v>
      </c>
      <c r="E16" s="122" t="s">
        <v>113</v>
      </c>
      <c r="G16" s="9"/>
      <c r="H16" s="9"/>
      <c r="I16" s="150"/>
      <c r="J16" s="9"/>
      <c r="K16" s="151"/>
      <c r="L16" s="113"/>
      <c r="N16" s="152" t="s">
        <v>10</v>
      </c>
      <c r="O16" s="132" t="s">
        <v>75</v>
      </c>
      <c r="P16" s="153" t="s">
        <v>114</v>
      </c>
      <c r="Q16" s="111" t="s">
        <v>115</v>
      </c>
      <c r="R16" s="111" t="s">
        <v>116</v>
      </c>
    </row>
    <row r="17" spans="1:18" ht="15" thickBot="1">
      <c r="A17" s="410" t="s">
        <v>117</v>
      </c>
      <c r="B17" s="411"/>
      <c r="C17" s="154">
        <v>0.06</v>
      </c>
      <c r="D17" s="155">
        <f>E15</f>
        <v>6.9444444444444441E-3</v>
      </c>
      <c r="E17" s="156">
        <f>(4*D17)/(3.14*C17*C17)</f>
        <v>2.4573405677439646</v>
      </c>
      <c r="N17" s="157" t="s">
        <v>118</v>
      </c>
      <c r="O17" s="158">
        <f>Q17/R17</f>
        <v>2.7875131316527271E-2</v>
      </c>
      <c r="P17" s="159">
        <f>J49</f>
        <v>13.892965002155089</v>
      </c>
      <c r="Q17" s="160">
        <f>P17*1000</f>
        <v>13892.96500215509</v>
      </c>
      <c r="R17" s="161">
        <f>$H$14*3600</f>
        <v>498399.98399999994</v>
      </c>
    </row>
    <row r="18" spans="1:18">
      <c r="A18" s="162" t="s">
        <v>171</v>
      </c>
      <c r="B18" s="83"/>
      <c r="C18" s="83"/>
      <c r="D18" s="83"/>
      <c r="E18" s="83"/>
      <c r="F18" s="163"/>
      <c r="G18" s="163"/>
      <c r="H18" s="163"/>
      <c r="I18" s="163"/>
      <c r="J18" s="163"/>
      <c r="K18" s="163"/>
      <c r="L18" s="164"/>
      <c r="N18" s="157" t="s">
        <v>119</v>
      </c>
      <c r="O18" s="158">
        <f>Q18/R18</f>
        <v>0</v>
      </c>
      <c r="P18" s="159">
        <f>K21/1000</f>
        <v>0</v>
      </c>
      <c r="Q18" s="160">
        <f>P18*1000</f>
        <v>0</v>
      </c>
      <c r="R18" s="161">
        <f>$H$14*3600</f>
        <v>498399.98399999994</v>
      </c>
    </row>
    <row r="19" spans="1:18" ht="15.6">
      <c r="A19" s="165" t="s">
        <v>120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N19" s="157" t="s">
        <v>121</v>
      </c>
      <c r="O19" s="166">
        <f>Q19/R19</f>
        <v>0</v>
      </c>
      <c r="P19" s="159">
        <f>L21/1000</f>
        <v>0</v>
      </c>
      <c r="Q19" s="160">
        <f>P19*1000</f>
        <v>0</v>
      </c>
      <c r="R19" s="161">
        <f>$H$14*3600</f>
        <v>498399.98399999994</v>
      </c>
    </row>
    <row r="20" spans="1:18" ht="15" thickBot="1">
      <c r="A20" s="167"/>
      <c r="B20" s="83"/>
      <c r="C20" s="83"/>
      <c r="D20" s="83"/>
      <c r="E20" s="83"/>
      <c r="F20" s="83"/>
      <c r="G20" s="83"/>
      <c r="H20" s="83"/>
      <c r="I20" s="83"/>
      <c r="J20" s="83"/>
      <c r="K20" s="132" t="s">
        <v>122</v>
      </c>
      <c r="L20" s="153" t="s">
        <v>123</v>
      </c>
      <c r="N20" s="168" t="s">
        <v>124</v>
      </c>
      <c r="O20" s="169">
        <f>Q20/R20</f>
        <v>8.3625393949581818E-4</v>
      </c>
      <c r="P20" s="170">
        <f>E88</f>
        <v>0.41678895006465266</v>
      </c>
      <c r="Q20" s="160">
        <f>P20*1000</f>
        <v>416.78895006465268</v>
      </c>
      <c r="R20" s="161">
        <f>$H$14*3600</f>
        <v>498399.98399999994</v>
      </c>
    </row>
    <row r="21" spans="1:18">
      <c r="A21" s="167"/>
      <c r="B21" s="83"/>
      <c r="C21" s="83"/>
      <c r="D21" s="83"/>
      <c r="E21" s="83"/>
      <c r="F21" s="83"/>
      <c r="G21" s="83"/>
      <c r="H21" s="83"/>
      <c r="I21" s="83"/>
      <c r="J21" s="83"/>
      <c r="K21" s="221">
        <f>J23*K25*J24*J26</f>
        <v>0</v>
      </c>
      <c r="L21" s="222">
        <f>J23*L25*J24*J26</f>
        <v>0</v>
      </c>
      <c r="N21" s="167"/>
      <c r="O21" s="83"/>
      <c r="P21" s="84"/>
    </row>
    <row r="22" spans="1:18" ht="15" thickBot="1">
      <c r="A22" s="16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167"/>
      <c r="O22" s="83"/>
      <c r="P22" s="84"/>
    </row>
    <row r="23" spans="1:18">
      <c r="A23" s="412" t="s">
        <v>125</v>
      </c>
      <c r="B23" s="413"/>
      <c r="C23" s="413"/>
      <c r="D23" s="413"/>
      <c r="E23" s="413"/>
      <c r="F23" s="413"/>
      <c r="G23" s="413"/>
      <c r="H23" s="413"/>
      <c r="I23" s="413"/>
      <c r="J23" s="172">
        <v>1E-3</v>
      </c>
      <c r="K23" s="83"/>
      <c r="L23" s="84"/>
      <c r="N23" s="173" t="s">
        <v>126</v>
      </c>
      <c r="O23" s="174"/>
      <c r="P23" s="175"/>
    </row>
    <row r="24" spans="1:18" ht="16.2">
      <c r="A24" s="412" t="s">
        <v>127</v>
      </c>
      <c r="B24" s="413"/>
      <c r="C24" s="413"/>
      <c r="D24" s="413"/>
      <c r="E24" s="413"/>
      <c r="F24" s="413"/>
      <c r="G24" s="413"/>
      <c r="H24" s="413"/>
      <c r="I24" s="413"/>
      <c r="J24" s="176">
        <f>L14</f>
        <v>3461.1109999999999</v>
      </c>
      <c r="K24" s="67" t="s">
        <v>128</v>
      </c>
      <c r="L24" s="177" t="s">
        <v>129</v>
      </c>
      <c r="N24" s="152" t="s">
        <v>10</v>
      </c>
      <c r="O24" s="132" t="s">
        <v>75</v>
      </c>
      <c r="P24" s="153" t="s">
        <v>114</v>
      </c>
      <c r="Q24" s="111" t="s">
        <v>115</v>
      </c>
      <c r="R24" s="111" t="s">
        <v>130</v>
      </c>
    </row>
    <row r="25" spans="1:18" ht="16.2">
      <c r="A25" s="414" t="s">
        <v>131</v>
      </c>
      <c r="B25" s="415"/>
      <c r="C25" s="415"/>
      <c r="D25" s="415"/>
      <c r="E25" s="415"/>
      <c r="F25" s="415"/>
      <c r="G25" s="415"/>
      <c r="H25" s="415"/>
      <c r="I25" s="415"/>
      <c r="J25" s="416"/>
      <c r="K25" s="67">
        <f>H9</f>
        <v>0</v>
      </c>
      <c r="L25" s="177">
        <f>H10</f>
        <v>0</v>
      </c>
      <c r="N25" s="157" t="s">
        <v>118</v>
      </c>
      <c r="O25" s="178">
        <f>Q25/R25</f>
        <v>2.1199737186345257E-5</v>
      </c>
      <c r="P25" s="159">
        <f>J58</f>
        <v>0.66901282623180902</v>
      </c>
      <c r="Q25" s="160">
        <f>P25*1000</f>
        <v>669.01282623180907</v>
      </c>
      <c r="R25" s="8">
        <v>31557600</v>
      </c>
    </row>
    <row r="26" spans="1:18" ht="15" thickBot="1">
      <c r="A26" s="417" t="s">
        <v>132</v>
      </c>
      <c r="B26" s="418"/>
      <c r="C26" s="418"/>
      <c r="D26" s="418"/>
      <c r="E26" s="418"/>
      <c r="F26" s="418"/>
      <c r="G26" s="418"/>
      <c r="H26" s="418"/>
      <c r="I26" s="418"/>
      <c r="J26" s="179">
        <v>1</v>
      </c>
      <c r="K26" s="180"/>
      <c r="L26" s="181"/>
      <c r="N26" s="157" t="s">
        <v>119</v>
      </c>
      <c r="O26" s="178">
        <f>Q26/R26</f>
        <v>0</v>
      </c>
      <c r="P26" s="159">
        <f>K32/1000</f>
        <v>0</v>
      </c>
      <c r="Q26" s="160">
        <f>P26*1000</f>
        <v>0</v>
      </c>
      <c r="R26" s="8">
        <v>31557600</v>
      </c>
    </row>
    <row r="27" spans="1:18" ht="15" thickBot="1">
      <c r="N27" s="157" t="s">
        <v>121</v>
      </c>
      <c r="O27" s="182">
        <f>Q27/R27</f>
        <v>0</v>
      </c>
      <c r="P27" s="159">
        <f>L32/1000</f>
        <v>0</v>
      </c>
      <c r="Q27" s="160">
        <f>P27*1000</f>
        <v>0</v>
      </c>
      <c r="R27" s="8">
        <v>31557600</v>
      </c>
    </row>
    <row r="28" spans="1:18" ht="15" thickBot="1">
      <c r="A28" s="183" t="s">
        <v>133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N28" s="168" t="s">
        <v>124</v>
      </c>
      <c r="O28" s="184">
        <f>Q28/R28</f>
        <v>6.3599211559035752E-7</v>
      </c>
      <c r="P28" s="170">
        <f>F88</f>
        <v>2.0070384786954269E-2</v>
      </c>
      <c r="Q28" s="160">
        <f>P28*1000</f>
        <v>20.070384786954268</v>
      </c>
      <c r="R28" s="8">
        <v>31557600</v>
      </c>
    </row>
    <row r="29" spans="1:18" ht="15" thickBot="1">
      <c r="A29" s="165" t="s">
        <v>134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N29" s="185"/>
      <c r="O29" s="83"/>
      <c r="P29" s="84"/>
    </row>
    <row r="30" spans="1:18">
      <c r="A30" s="16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N30" s="173" t="s">
        <v>90</v>
      </c>
      <c r="O30" s="174"/>
      <c r="P30" s="175"/>
      <c r="R30" s="186"/>
    </row>
    <row r="31" spans="1:18">
      <c r="A31" s="167"/>
      <c r="B31" s="83"/>
      <c r="C31" s="83"/>
      <c r="D31" s="83"/>
      <c r="E31" s="83"/>
      <c r="F31" s="83"/>
      <c r="G31" s="83"/>
      <c r="H31" s="83"/>
      <c r="I31" s="83"/>
      <c r="J31" s="83"/>
      <c r="K31" s="263" t="s">
        <v>122</v>
      </c>
      <c r="L31" s="187" t="s">
        <v>123</v>
      </c>
      <c r="N31" s="152" t="s">
        <v>10</v>
      </c>
      <c r="O31" s="132" t="s">
        <v>75</v>
      </c>
      <c r="P31" s="188" t="s">
        <v>114</v>
      </c>
      <c r="Q31" s="132" t="s">
        <v>5</v>
      </c>
    </row>
    <row r="32" spans="1:18">
      <c r="A32" s="167"/>
      <c r="B32" s="83"/>
      <c r="C32" s="83"/>
      <c r="D32" s="83"/>
      <c r="E32" s="83"/>
      <c r="F32" s="83"/>
      <c r="G32" s="83"/>
      <c r="H32" s="83"/>
      <c r="I32" s="83"/>
      <c r="J32" s="83"/>
      <c r="K32" s="189">
        <f>J33*J34*J35*K36*J37*J38</f>
        <v>0</v>
      </c>
      <c r="L32" s="190">
        <f>J33*J34*J35*L36*J37*J38</f>
        <v>0</v>
      </c>
      <c r="N32" s="157" t="s">
        <v>118</v>
      </c>
      <c r="O32" s="119">
        <f>O17+O25</f>
        <v>2.7896331053713617E-2</v>
      </c>
      <c r="P32" s="191">
        <f>P25+P17</f>
        <v>14.561977828386897</v>
      </c>
      <c r="Q32" s="115">
        <f>P32/1000</f>
        <v>1.4561977828386898E-2</v>
      </c>
    </row>
    <row r="33" spans="1:18">
      <c r="A33" s="407" t="s">
        <v>125</v>
      </c>
      <c r="B33" s="408"/>
      <c r="C33" s="408"/>
      <c r="D33" s="408"/>
      <c r="E33" s="408"/>
      <c r="F33" s="408"/>
      <c r="G33" s="408"/>
      <c r="H33" s="408"/>
      <c r="I33" s="409"/>
      <c r="J33" s="192">
        <v>1E-3</v>
      </c>
      <c r="K33" s="83"/>
      <c r="L33" s="84"/>
      <c r="N33" s="157" t="s">
        <v>119</v>
      </c>
      <c r="O33" s="119">
        <f>O18+O26</f>
        <v>0</v>
      </c>
      <c r="P33" s="191">
        <f>P18+P26</f>
        <v>0</v>
      </c>
      <c r="Q33" s="75">
        <f t="shared" ref="Q33:Q35" si="0">P33/1000</f>
        <v>0</v>
      </c>
      <c r="R33" t="s">
        <v>135</v>
      </c>
    </row>
    <row r="34" spans="1:18">
      <c r="A34" s="407" t="s">
        <v>136</v>
      </c>
      <c r="B34" s="408"/>
      <c r="C34" s="408"/>
      <c r="D34" s="408"/>
      <c r="E34" s="408"/>
      <c r="F34" s="408"/>
      <c r="G34" s="408"/>
      <c r="H34" s="408"/>
      <c r="I34" s="409"/>
      <c r="J34" s="109">
        <f>H4</f>
        <v>365</v>
      </c>
      <c r="K34" s="83"/>
      <c r="L34" s="84"/>
      <c r="N34" s="157" t="s">
        <v>121</v>
      </c>
      <c r="O34" s="119">
        <f>O19+O27</f>
        <v>0</v>
      </c>
      <c r="P34" s="191">
        <f>P19+P27</f>
        <v>0</v>
      </c>
      <c r="Q34" s="75">
        <f t="shared" si="0"/>
        <v>0</v>
      </c>
      <c r="R34" t="s">
        <v>135</v>
      </c>
    </row>
    <row r="35" spans="1:18" ht="17.399999999999999" thickBot="1">
      <c r="A35" s="407" t="s">
        <v>137</v>
      </c>
      <c r="B35" s="408"/>
      <c r="C35" s="408"/>
      <c r="D35" s="408"/>
      <c r="E35" s="408"/>
      <c r="F35" s="408"/>
      <c r="G35" s="408"/>
      <c r="H35" s="408"/>
      <c r="I35" s="409"/>
      <c r="J35" s="158">
        <f>J41</f>
        <v>10.66128125</v>
      </c>
      <c r="K35" s="83"/>
      <c r="L35" s="84"/>
      <c r="N35" s="168" t="s">
        <v>124</v>
      </c>
      <c r="O35" s="223">
        <f>O20+O28</f>
        <v>8.3688993161140852E-4</v>
      </c>
      <c r="P35" s="194">
        <f>P20+P28</f>
        <v>0.43685933485160694</v>
      </c>
      <c r="Q35" s="75">
        <f t="shared" si="0"/>
        <v>4.3685933485160695E-4</v>
      </c>
      <c r="R35" t="s">
        <v>135</v>
      </c>
    </row>
    <row r="36" spans="1:18" ht="16.8">
      <c r="A36" s="407" t="s">
        <v>138</v>
      </c>
      <c r="B36" s="408"/>
      <c r="C36" s="408"/>
      <c r="D36" s="408"/>
      <c r="E36" s="408"/>
      <c r="F36" s="408"/>
      <c r="G36" s="408"/>
      <c r="H36" s="408"/>
      <c r="I36" s="408"/>
      <c r="J36" s="409"/>
      <c r="K36" s="192">
        <f>K25</f>
        <v>0</v>
      </c>
      <c r="L36" s="195">
        <f>L25</f>
        <v>0</v>
      </c>
    </row>
    <row r="37" spans="1:18" ht="15.6">
      <c r="A37" s="407" t="s">
        <v>139</v>
      </c>
      <c r="B37" s="408"/>
      <c r="C37" s="408"/>
      <c r="D37" s="408"/>
      <c r="E37" s="408"/>
      <c r="F37" s="408"/>
      <c r="G37" s="408"/>
      <c r="H37" s="408"/>
      <c r="I37" s="409"/>
      <c r="J37" s="109">
        <f>H8</f>
        <v>4.2999999999999997E-2</v>
      </c>
      <c r="K37" s="83"/>
      <c r="L37" s="84"/>
      <c r="N37" s="196"/>
      <c r="O37" s="142"/>
      <c r="P37" s="142"/>
    </row>
    <row r="38" spans="1:18">
      <c r="A38" s="407" t="s">
        <v>140</v>
      </c>
      <c r="B38" s="408"/>
      <c r="C38" s="408"/>
      <c r="D38" s="408"/>
      <c r="E38" s="408"/>
      <c r="F38" s="408"/>
      <c r="G38" s="408"/>
      <c r="H38" s="408"/>
      <c r="I38" s="409"/>
      <c r="J38" s="172">
        <v>1</v>
      </c>
      <c r="K38" s="83"/>
      <c r="L38" s="84"/>
      <c r="N38" s="197"/>
      <c r="O38" s="198"/>
      <c r="P38" s="9"/>
      <c r="Q38" s="7"/>
      <c r="R38" s="7"/>
    </row>
    <row r="39" spans="1:18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83"/>
      <c r="L39" s="84"/>
      <c r="N39" s="201"/>
      <c r="O39" s="202"/>
      <c r="P39" s="142"/>
    </row>
    <row r="40" spans="1:18" ht="15.6">
      <c r="A40" s="419" t="s">
        <v>141</v>
      </c>
      <c r="B40" s="420"/>
      <c r="C40" s="420"/>
      <c r="D40" s="420"/>
      <c r="E40" s="420"/>
      <c r="F40" s="420"/>
      <c r="G40" s="420"/>
      <c r="H40" s="420"/>
      <c r="I40" s="420"/>
      <c r="J40" s="421"/>
      <c r="K40" s="83"/>
      <c r="L40" s="84"/>
      <c r="N40" s="203"/>
      <c r="O40" s="204"/>
      <c r="P40" s="107"/>
    </row>
    <row r="41" spans="1:18" ht="16.8">
      <c r="A41" s="419" t="s">
        <v>142</v>
      </c>
      <c r="B41" s="420"/>
      <c r="C41" s="420"/>
      <c r="D41" s="420"/>
      <c r="E41" s="420"/>
      <c r="F41" s="420"/>
      <c r="G41" s="420"/>
      <c r="H41" s="420"/>
      <c r="I41" s="421"/>
      <c r="J41" s="158">
        <f>3.14*(J42*J42)*(J43-(J43*J44))/4</f>
        <v>10.66128125</v>
      </c>
      <c r="K41" s="83"/>
      <c r="L41" s="84"/>
      <c r="N41" s="201"/>
      <c r="O41" s="202"/>
      <c r="P41" s="107"/>
    </row>
    <row r="42" spans="1:18">
      <c r="A42" s="407" t="s">
        <v>143</v>
      </c>
      <c r="B42" s="408"/>
      <c r="C42" s="408"/>
      <c r="D42" s="408"/>
      <c r="E42" s="408"/>
      <c r="F42" s="408"/>
      <c r="G42" s="408"/>
      <c r="H42" s="408"/>
      <c r="I42" s="409"/>
      <c r="J42" s="57">
        <f>D14</f>
        <v>2.5</v>
      </c>
      <c r="K42" s="83"/>
      <c r="L42" s="84"/>
      <c r="N42" s="9"/>
      <c r="O42" s="201"/>
      <c r="P42" s="107"/>
    </row>
    <row r="43" spans="1:18" ht="15.6">
      <c r="A43" s="407" t="s">
        <v>144</v>
      </c>
      <c r="B43" s="408"/>
      <c r="C43" s="408"/>
      <c r="D43" s="408"/>
      <c r="E43" s="408"/>
      <c r="F43" s="408"/>
      <c r="G43" s="408"/>
      <c r="H43" s="408"/>
      <c r="I43" s="409"/>
      <c r="J43" s="57">
        <f>C14</f>
        <v>10.865</v>
      </c>
      <c r="K43" s="83"/>
      <c r="L43" s="84"/>
      <c r="N43" s="196"/>
      <c r="O43" s="201"/>
      <c r="P43" s="107"/>
    </row>
    <row r="44" spans="1:18" ht="15" thickBot="1">
      <c r="A44" s="422" t="s">
        <v>145</v>
      </c>
      <c r="B44" s="423"/>
      <c r="C44" s="423"/>
      <c r="D44" s="423"/>
      <c r="E44" s="423"/>
      <c r="F44" s="423"/>
      <c r="G44" s="423"/>
      <c r="H44" s="423"/>
      <c r="I44" s="424"/>
      <c r="J44" s="301">
        <f>H5</f>
        <v>0.8</v>
      </c>
      <c r="K44" s="205"/>
      <c r="L44" s="206"/>
      <c r="N44" s="201"/>
      <c r="O44" s="107"/>
      <c r="P44" s="107"/>
    </row>
    <row r="45" spans="1:18" ht="15" thickBot="1">
      <c r="N45" s="201"/>
      <c r="O45" s="107"/>
      <c r="P45" s="107"/>
    </row>
    <row r="46" spans="1:18">
      <c r="A46" s="183" t="s">
        <v>235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N46" s="201"/>
      <c r="O46" s="107"/>
      <c r="P46" s="107"/>
    </row>
    <row r="47" spans="1:18">
      <c r="A47" s="165" t="s">
        <v>146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N47" s="201"/>
      <c r="O47" s="107"/>
      <c r="P47" s="107"/>
    </row>
    <row r="48" spans="1:18" ht="15" thickBot="1">
      <c r="A48" s="16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N48" s="9"/>
      <c r="O48" s="9"/>
      <c r="P48" s="9"/>
    </row>
    <row r="49" spans="1:15" ht="15" thickBot="1">
      <c r="A49" s="167"/>
      <c r="B49" s="207" t="s">
        <v>147</v>
      </c>
      <c r="C49" s="83"/>
      <c r="D49" s="83"/>
      <c r="E49" s="83"/>
      <c r="F49" s="83"/>
      <c r="G49" s="83"/>
      <c r="H49" s="83"/>
      <c r="I49" s="83"/>
      <c r="J49" s="208">
        <f>J51*J52*1</f>
        <v>13.892965002155089</v>
      </c>
      <c r="K49" s="83"/>
      <c r="L49" s="84"/>
      <c r="O49" t="s">
        <v>148</v>
      </c>
    </row>
    <row r="50" spans="1:15">
      <c r="A50" s="16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5" ht="16.2">
      <c r="A51" s="407" t="s">
        <v>127</v>
      </c>
      <c r="B51" s="408"/>
      <c r="C51" s="408"/>
      <c r="D51" s="408"/>
      <c r="E51" s="408"/>
      <c r="F51" s="408"/>
      <c r="G51" s="408"/>
      <c r="H51" s="408"/>
      <c r="I51" s="409"/>
      <c r="J51" s="209">
        <f>J24</f>
        <v>3461.1109999999999</v>
      </c>
      <c r="K51" s="83"/>
      <c r="L51" s="84"/>
    </row>
    <row r="52" spans="1:15" ht="16.8">
      <c r="A52" s="407" t="s">
        <v>149</v>
      </c>
      <c r="B52" s="408"/>
      <c r="C52" s="408"/>
      <c r="D52" s="408"/>
      <c r="E52" s="408"/>
      <c r="F52" s="408"/>
      <c r="G52" s="408"/>
      <c r="H52" s="408"/>
      <c r="I52" s="409"/>
      <c r="J52" s="158">
        <f>J69</f>
        <v>4.0140189095799264E-3</v>
      </c>
      <c r="K52" s="83"/>
      <c r="L52" s="84"/>
    </row>
    <row r="53" spans="1:15" ht="15" thickBot="1">
      <c r="A53" s="428" t="s">
        <v>150</v>
      </c>
      <c r="B53" s="429"/>
      <c r="C53" s="429"/>
      <c r="D53" s="429"/>
      <c r="E53" s="429"/>
      <c r="F53" s="429"/>
      <c r="G53" s="429"/>
      <c r="H53" s="429"/>
      <c r="I53" s="430"/>
      <c r="J53" s="179">
        <v>1</v>
      </c>
      <c r="K53" s="205"/>
      <c r="L53" s="206"/>
    </row>
    <row r="54" spans="1:15" ht="15" thickBot="1"/>
    <row r="55" spans="1:15">
      <c r="A55" s="183" t="s">
        <v>236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5" ht="15.6">
      <c r="A56" s="165" t="s">
        <v>151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1:15" ht="15" thickBot="1">
      <c r="A57" s="1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5" ht="15" thickBot="1">
      <c r="A58" s="167"/>
      <c r="B58" s="83"/>
      <c r="C58" s="83"/>
      <c r="D58" s="83"/>
      <c r="E58" s="83"/>
      <c r="F58" s="83"/>
      <c r="G58" s="83"/>
      <c r="H58" s="83"/>
      <c r="I58" s="83"/>
      <c r="J58" s="210">
        <f>J60*J61*J62*J63*J64*J65</f>
        <v>0.66901282623180902</v>
      </c>
      <c r="K58" s="83"/>
      <c r="L58" s="84"/>
    </row>
    <row r="59" spans="1:15">
      <c r="A59" s="16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5">
      <c r="A60" s="431" t="s">
        <v>136</v>
      </c>
      <c r="B60" s="432"/>
      <c r="C60" s="432"/>
      <c r="D60" s="432"/>
      <c r="E60" s="432"/>
      <c r="F60" s="432"/>
      <c r="G60" s="432"/>
      <c r="H60" s="432"/>
      <c r="I60" s="433"/>
      <c r="J60" s="109">
        <f>J34</f>
        <v>365</v>
      </c>
      <c r="K60" s="83"/>
      <c r="L60" s="84"/>
    </row>
    <row r="61" spans="1:15" ht="16.2">
      <c r="A61" s="431" t="s">
        <v>152</v>
      </c>
      <c r="B61" s="432"/>
      <c r="C61" s="432"/>
      <c r="D61" s="432"/>
      <c r="E61" s="432"/>
      <c r="F61" s="432"/>
      <c r="G61" s="432"/>
      <c r="H61" s="432"/>
      <c r="I61" s="433"/>
      <c r="J61" s="158">
        <f>J41</f>
        <v>10.66128125</v>
      </c>
      <c r="K61" s="83"/>
      <c r="L61" s="84"/>
    </row>
    <row r="62" spans="1:15" ht="16.2">
      <c r="A62" s="431" t="s">
        <v>153</v>
      </c>
      <c r="B62" s="432"/>
      <c r="C62" s="432"/>
      <c r="D62" s="432"/>
      <c r="E62" s="432"/>
      <c r="F62" s="432"/>
      <c r="G62" s="432"/>
      <c r="H62" s="432"/>
      <c r="I62" s="433"/>
      <c r="J62" s="158">
        <f>J69</f>
        <v>4.0140189095799264E-3</v>
      </c>
      <c r="K62" s="83"/>
      <c r="L62" s="84"/>
    </row>
    <row r="63" spans="1:15" ht="15.6">
      <c r="A63" s="431" t="s">
        <v>139</v>
      </c>
      <c r="B63" s="432"/>
      <c r="C63" s="432"/>
      <c r="D63" s="432"/>
      <c r="E63" s="432"/>
      <c r="F63" s="432"/>
      <c r="G63" s="432"/>
      <c r="H63" s="432"/>
      <c r="I63" s="433"/>
      <c r="J63" s="172">
        <f>J37</f>
        <v>4.2999999999999997E-2</v>
      </c>
      <c r="K63" s="83"/>
      <c r="L63" s="84"/>
    </row>
    <row r="64" spans="1:15" ht="15.6">
      <c r="A64" s="431" t="s">
        <v>154</v>
      </c>
      <c r="B64" s="432"/>
      <c r="C64" s="432"/>
      <c r="D64" s="432"/>
      <c r="E64" s="432"/>
      <c r="F64" s="432"/>
      <c r="G64" s="432"/>
      <c r="H64" s="432"/>
      <c r="I64" s="433"/>
      <c r="J64" s="158">
        <f>J76</f>
        <v>0.99605726985383003</v>
      </c>
      <c r="K64" s="83"/>
      <c r="L64" s="84"/>
    </row>
    <row r="65" spans="1:12">
      <c r="A65" s="431" t="s">
        <v>155</v>
      </c>
      <c r="B65" s="432"/>
      <c r="C65" s="432"/>
      <c r="D65" s="432"/>
      <c r="E65" s="432"/>
      <c r="F65" s="432"/>
      <c r="G65" s="432"/>
      <c r="H65" s="432"/>
      <c r="I65" s="433"/>
      <c r="J65" s="172">
        <v>1</v>
      </c>
      <c r="K65" s="83"/>
      <c r="L65" s="84"/>
    </row>
    <row r="66" spans="1:12">
      <c r="A66" s="2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4"/>
    </row>
    <row r="67" spans="1:12" ht="15">
      <c r="A67" s="425" t="s">
        <v>237</v>
      </c>
      <c r="B67" s="434"/>
      <c r="C67" s="434"/>
      <c r="D67" s="434"/>
      <c r="E67" s="434"/>
      <c r="F67" s="434"/>
      <c r="G67" s="434"/>
      <c r="H67" s="434"/>
      <c r="I67" s="434"/>
      <c r="J67" s="435"/>
      <c r="K67" s="83"/>
      <c r="L67" s="84"/>
    </row>
    <row r="68" spans="1:12" ht="15" thickBot="1">
      <c r="A68" s="2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ht="15" thickBot="1">
      <c r="A69" s="212"/>
      <c r="B69" s="83"/>
      <c r="C69" s="83"/>
      <c r="D69" s="83"/>
      <c r="E69" s="83"/>
      <c r="F69" s="83"/>
      <c r="G69" s="83"/>
      <c r="H69" s="83"/>
      <c r="I69" s="83"/>
      <c r="J69" s="213">
        <f>(J71*J72)/(J73*J74)</f>
        <v>4.0140189095799264E-3</v>
      </c>
      <c r="K69" s="83"/>
      <c r="L69" s="84"/>
    </row>
    <row r="70" spans="1:12">
      <c r="A70" s="2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</row>
    <row r="71" spans="1:12">
      <c r="A71" s="407" t="s">
        <v>156</v>
      </c>
      <c r="B71" s="408"/>
      <c r="C71" s="408"/>
      <c r="D71" s="408"/>
      <c r="E71" s="408"/>
      <c r="F71" s="408"/>
      <c r="G71" s="408"/>
      <c r="H71" s="408"/>
      <c r="I71" s="409"/>
      <c r="J71" s="109">
        <f>G14</f>
        <v>130</v>
      </c>
      <c r="K71" s="83"/>
      <c r="L71" s="84"/>
    </row>
    <row r="72" spans="1:12">
      <c r="A72" s="214" t="s">
        <v>157</v>
      </c>
      <c r="B72" s="172"/>
      <c r="C72" s="172"/>
      <c r="D72" s="172"/>
      <c r="E72" s="172"/>
      <c r="F72" s="172"/>
      <c r="G72" s="172"/>
      <c r="H72" s="172"/>
      <c r="I72" s="172"/>
      <c r="J72" s="57">
        <f>H6</f>
        <v>7.1999999999999995E-2</v>
      </c>
      <c r="K72" s="83"/>
      <c r="L72" s="84"/>
    </row>
    <row r="73" spans="1:12" ht="16.2">
      <c r="A73" s="407" t="s">
        <v>158</v>
      </c>
      <c r="B73" s="408"/>
      <c r="C73" s="408"/>
      <c r="D73" s="408"/>
      <c r="E73" s="408"/>
      <c r="F73" s="408"/>
      <c r="G73" s="408"/>
      <c r="H73" s="408"/>
      <c r="I73" s="409"/>
      <c r="J73" s="172">
        <v>8.3140000000000001</v>
      </c>
      <c r="K73" s="83"/>
      <c r="L73" s="84"/>
    </row>
    <row r="74" spans="1:12" ht="15.6">
      <c r="A74" s="407" t="s">
        <v>159</v>
      </c>
      <c r="B74" s="408"/>
      <c r="C74" s="408"/>
      <c r="D74" s="408"/>
      <c r="E74" s="408"/>
      <c r="F74" s="408"/>
      <c r="G74" s="408"/>
      <c r="H74" s="408"/>
      <c r="I74" s="409"/>
      <c r="J74" s="57">
        <f>H7</f>
        <v>280.47000000000003</v>
      </c>
      <c r="K74" s="83"/>
      <c r="L74" s="84"/>
    </row>
    <row r="75" spans="1:12" ht="16.2" thickBot="1">
      <c r="A75" s="425" t="s">
        <v>160</v>
      </c>
      <c r="B75" s="426"/>
      <c r="C75" s="426"/>
      <c r="D75" s="426"/>
      <c r="E75" s="426"/>
      <c r="F75" s="426"/>
      <c r="G75" s="426"/>
      <c r="H75" s="426"/>
      <c r="I75" s="427"/>
      <c r="J75" s="215"/>
      <c r="K75" s="83"/>
      <c r="L75" s="84"/>
    </row>
    <row r="76" spans="1:12" ht="16.2" thickBot="1">
      <c r="A76" s="439" t="s">
        <v>161</v>
      </c>
      <c r="B76" s="440"/>
      <c r="C76" s="440"/>
      <c r="D76" s="440"/>
      <c r="E76" s="440"/>
      <c r="F76" s="440"/>
      <c r="G76" s="440"/>
      <c r="H76" s="440"/>
      <c r="I76" s="441"/>
      <c r="J76" s="213">
        <f>1/(1+(J77*J78*(J79-(J79*J80))))</f>
        <v>0.99605726985383003</v>
      </c>
      <c r="K76" s="83"/>
      <c r="L76" s="84"/>
    </row>
    <row r="77" spans="1:12">
      <c r="A77" s="407" t="s">
        <v>162</v>
      </c>
      <c r="B77" s="408"/>
      <c r="C77" s="408"/>
      <c r="D77" s="408"/>
      <c r="E77" s="408"/>
      <c r="F77" s="408"/>
      <c r="G77" s="408"/>
      <c r="H77" s="408"/>
      <c r="I77" s="409"/>
      <c r="J77" s="216">
        <v>2.53E-2</v>
      </c>
      <c r="K77" s="83"/>
      <c r="L77" s="84"/>
    </row>
    <row r="78" spans="1:12">
      <c r="A78" s="214" t="s">
        <v>157</v>
      </c>
      <c r="B78" s="172"/>
      <c r="C78" s="172"/>
      <c r="D78" s="172"/>
      <c r="E78" s="172"/>
      <c r="F78" s="172"/>
      <c r="G78" s="172"/>
      <c r="H78" s="172"/>
      <c r="I78" s="172"/>
      <c r="J78" s="109">
        <f>J72</f>
        <v>7.1999999999999995E-2</v>
      </c>
      <c r="K78" s="83"/>
      <c r="L78" s="84"/>
    </row>
    <row r="79" spans="1:12" ht="15.6">
      <c r="A79" s="407" t="s">
        <v>144</v>
      </c>
      <c r="B79" s="408"/>
      <c r="C79" s="408"/>
      <c r="D79" s="408"/>
      <c r="E79" s="408"/>
      <c r="F79" s="408"/>
      <c r="G79" s="408"/>
      <c r="H79" s="408"/>
      <c r="I79" s="409"/>
      <c r="J79" s="172">
        <f>J43</f>
        <v>10.865</v>
      </c>
      <c r="K79" s="83"/>
      <c r="L79" s="84"/>
    </row>
    <row r="80" spans="1:12" ht="15" thickBot="1">
      <c r="A80" s="428" t="s">
        <v>163</v>
      </c>
      <c r="B80" s="429"/>
      <c r="C80" s="429"/>
      <c r="D80" s="429"/>
      <c r="E80" s="429"/>
      <c r="F80" s="429"/>
      <c r="G80" s="429"/>
      <c r="H80" s="429"/>
      <c r="I80" s="430"/>
      <c r="J80" s="179">
        <f>J44</f>
        <v>0.8</v>
      </c>
      <c r="K80" s="205"/>
      <c r="L80" s="206"/>
    </row>
    <row r="81" spans="1:16" ht="15" thickBot="1"/>
    <row r="82" spans="1:16">
      <c r="A82" s="183" t="s">
        <v>164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</row>
    <row r="83" spans="1:16">
      <c r="A83" s="211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>
      <c r="A84" s="211" t="s">
        <v>166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</row>
    <row r="85" spans="1:16">
      <c r="A85" s="21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</row>
    <row r="86" spans="1:16">
      <c r="A86" s="2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</row>
    <row r="87" spans="1:16">
      <c r="A87" s="442" t="s">
        <v>167</v>
      </c>
      <c r="B87" s="443" t="s">
        <v>168</v>
      </c>
      <c r="C87" s="444"/>
      <c r="D87" s="445"/>
      <c r="E87" s="217" t="s">
        <v>169</v>
      </c>
      <c r="F87" s="217" t="s">
        <v>170</v>
      </c>
      <c r="G87" s="83"/>
      <c r="H87" s="83"/>
      <c r="I87" s="83"/>
      <c r="J87" s="83"/>
      <c r="K87" s="83"/>
      <c r="L87" s="83"/>
      <c r="M87" s="83"/>
      <c r="N87" s="83"/>
      <c r="O87" s="83"/>
      <c r="P87" s="84"/>
    </row>
    <row r="88" spans="1:16">
      <c r="A88" s="442"/>
      <c r="B88" s="446" t="s">
        <v>114</v>
      </c>
      <c r="C88" s="447"/>
      <c r="D88" s="448"/>
      <c r="E88" s="171">
        <f>A89*J49</f>
        <v>0.41678895006465266</v>
      </c>
      <c r="F88" s="218">
        <f>J58*A89</f>
        <v>2.0070384786954269E-2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ht="15" thickBot="1">
      <c r="A89" s="219">
        <v>0.03</v>
      </c>
      <c r="B89" s="436"/>
      <c r="C89" s="437"/>
      <c r="D89" s="438"/>
      <c r="E89" s="220"/>
      <c r="F89" s="220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1:16">
      <c r="B90"/>
      <c r="C90"/>
    </row>
    <row r="91" spans="1:16">
      <c r="A91"/>
    </row>
    <row r="92" spans="1:16">
      <c r="A92"/>
    </row>
  </sheetData>
  <mergeCells count="46">
    <mergeCell ref="A25:J25"/>
    <mergeCell ref="A1:G1"/>
    <mergeCell ref="A2:G2"/>
    <mergeCell ref="A3:G3"/>
    <mergeCell ref="A4:G4"/>
    <mergeCell ref="A5:G5"/>
    <mergeCell ref="A6:G6"/>
    <mergeCell ref="A7:G7"/>
    <mergeCell ref="A8:G8"/>
    <mergeCell ref="A17:B17"/>
    <mergeCell ref="A23:I23"/>
    <mergeCell ref="A24:I24"/>
    <mergeCell ref="A44:I44"/>
    <mergeCell ref="A26:I26"/>
    <mergeCell ref="A33:I33"/>
    <mergeCell ref="A34:I34"/>
    <mergeCell ref="A35:I35"/>
    <mergeCell ref="A36:J36"/>
    <mergeCell ref="A37:I37"/>
    <mergeCell ref="A38:I38"/>
    <mergeCell ref="A40:J40"/>
    <mergeCell ref="A41:I41"/>
    <mergeCell ref="A42:I42"/>
    <mergeCell ref="A43:I43"/>
    <mergeCell ref="A73:I73"/>
    <mergeCell ref="A51:I51"/>
    <mergeCell ref="A52:I52"/>
    <mergeCell ref="A53:I53"/>
    <mergeCell ref="A60:I60"/>
    <mergeCell ref="A61:I61"/>
    <mergeCell ref="A62:I62"/>
    <mergeCell ref="A63:I63"/>
    <mergeCell ref="A64:I64"/>
    <mergeCell ref="A65:I65"/>
    <mergeCell ref="A67:J67"/>
    <mergeCell ref="A71:I71"/>
    <mergeCell ref="A87:A88"/>
    <mergeCell ref="B87:D87"/>
    <mergeCell ref="B88:D88"/>
    <mergeCell ref="B89:D89"/>
    <mergeCell ref="A74:I74"/>
    <mergeCell ref="A75:I75"/>
    <mergeCell ref="A76:I76"/>
    <mergeCell ref="A77:I77"/>
    <mergeCell ref="A79:I79"/>
    <mergeCell ref="A80:I8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2"/>
  <sheetViews>
    <sheetView zoomScaleNormal="100" workbookViewId="0">
      <selection activeCell="K4" sqref="K4"/>
    </sheetView>
  </sheetViews>
  <sheetFormatPr defaultColWidth="8.88671875" defaultRowHeight="14.4"/>
  <cols>
    <col min="1" max="1" width="13.21875" style="8" customWidth="1"/>
    <col min="2" max="2" width="9.21875" style="8" bestFit="1" customWidth="1"/>
    <col min="3" max="3" width="10.5546875" style="8" bestFit="1" customWidth="1"/>
    <col min="4" max="4" width="12.88671875" style="8" bestFit="1" customWidth="1"/>
    <col min="5" max="5" width="16.44140625" style="8" customWidth="1"/>
    <col min="6" max="6" width="12.5546875" style="8" customWidth="1"/>
    <col min="7" max="7" width="46.21875" style="8" customWidth="1"/>
    <col min="8" max="8" width="12.6640625" style="8" customWidth="1"/>
    <col min="9" max="9" width="21" style="8" customWidth="1"/>
    <col min="10" max="10" width="18.88671875" style="8" bestFit="1" customWidth="1"/>
    <col min="11" max="11" width="17.77734375" style="8" customWidth="1"/>
    <col min="12" max="12" width="21.44140625" style="8" customWidth="1"/>
    <col min="13" max="13" width="6.33203125" style="8" customWidth="1"/>
    <col min="14" max="14" width="24" style="8" customWidth="1"/>
    <col min="15" max="15" width="16.33203125" style="8" customWidth="1"/>
    <col min="16" max="16" width="13.109375" style="8" customWidth="1"/>
    <col min="17" max="18" width="13.6640625" style="8" customWidth="1"/>
    <col min="19" max="16384" width="8.88671875" style="8"/>
  </cols>
  <sheetData>
    <row r="1" spans="1:18">
      <c r="A1" s="401" t="s">
        <v>101</v>
      </c>
      <c r="B1" s="401"/>
      <c r="C1" s="401"/>
      <c r="D1" s="401"/>
      <c r="E1" s="401"/>
      <c r="F1" s="401"/>
      <c r="G1" s="401"/>
      <c r="H1" s="193">
        <f>Algandmed!F32</f>
        <v>3115</v>
      </c>
      <c r="I1" s="109" t="s">
        <v>5</v>
      </c>
    </row>
    <row r="2" spans="1:18">
      <c r="A2" s="401" t="s">
        <v>96</v>
      </c>
      <c r="B2" s="401"/>
      <c r="C2" s="401"/>
      <c r="D2" s="401"/>
      <c r="E2" s="401"/>
      <c r="F2" s="401"/>
      <c r="G2" s="401"/>
      <c r="H2" s="193">
        <v>25</v>
      </c>
      <c r="I2" s="109" t="s">
        <v>104</v>
      </c>
    </row>
    <row r="3" spans="1:18">
      <c r="A3" s="404" t="s">
        <v>97</v>
      </c>
      <c r="B3" s="405"/>
      <c r="C3" s="405"/>
      <c r="D3" s="405"/>
      <c r="E3" s="405"/>
      <c r="F3" s="405"/>
      <c r="G3" s="406"/>
      <c r="H3" s="193">
        <v>130</v>
      </c>
      <c r="I3" s="109"/>
    </row>
    <row r="4" spans="1:18">
      <c r="A4" s="402" t="s">
        <v>136</v>
      </c>
      <c r="B4" s="402"/>
      <c r="C4" s="402"/>
      <c r="D4" s="402"/>
      <c r="E4" s="402"/>
      <c r="F4" s="402"/>
      <c r="G4" s="402"/>
      <c r="H4" s="305">
        <f>Algandmed!F23</f>
        <v>365</v>
      </c>
      <c r="I4" s="303"/>
    </row>
    <row r="5" spans="1:18">
      <c r="A5" s="403" t="s">
        <v>145</v>
      </c>
      <c r="B5" s="403"/>
      <c r="C5" s="403"/>
      <c r="D5" s="403"/>
      <c r="E5" s="403"/>
      <c r="F5" s="403"/>
      <c r="G5" s="403"/>
      <c r="H5" s="306">
        <v>0.8</v>
      </c>
      <c r="I5" s="304"/>
    </row>
    <row r="6" spans="1:18">
      <c r="A6" s="402" t="s">
        <v>157</v>
      </c>
      <c r="B6" s="402"/>
      <c r="C6" s="402"/>
      <c r="D6" s="402"/>
      <c r="E6" s="402"/>
      <c r="F6" s="402"/>
      <c r="G6" s="402"/>
      <c r="H6" s="306">
        <v>7.1999999999999995E-2</v>
      </c>
      <c r="I6" s="304" t="s">
        <v>231</v>
      </c>
    </row>
    <row r="7" spans="1:18" ht="15.6">
      <c r="A7" s="402" t="s">
        <v>233</v>
      </c>
      <c r="B7" s="402"/>
      <c r="C7" s="402"/>
      <c r="D7" s="402"/>
      <c r="E7" s="402"/>
      <c r="F7" s="402"/>
      <c r="G7" s="402"/>
      <c r="H7" s="305">
        <v>280.47000000000003</v>
      </c>
      <c r="I7" s="303" t="s">
        <v>232</v>
      </c>
    </row>
    <row r="8" spans="1:18" ht="15.6">
      <c r="A8" s="402" t="s">
        <v>230</v>
      </c>
      <c r="B8" s="402"/>
      <c r="C8" s="402"/>
      <c r="D8" s="402"/>
      <c r="E8" s="402"/>
      <c r="F8" s="402"/>
      <c r="G8" s="402"/>
      <c r="H8" s="305">
        <v>4.2999999999999997E-2</v>
      </c>
      <c r="I8" s="303"/>
    </row>
    <row r="9" spans="1:18" ht="16.2">
      <c r="A9" s="259" t="s">
        <v>234</v>
      </c>
      <c r="B9" s="260"/>
      <c r="C9" s="260"/>
      <c r="D9" s="260"/>
      <c r="E9" s="260"/>
      <c r="F9" s="260"/>
      <c r="G9" s="260"/>
      <c r="H9" s="306"/>
      <c r="I9" s="308"/>
      <c r="J9" s="302"/>
    </row>
    <row r="10" spans="1:18">
      <c r="A10" s="302"/>
      <c r="B10" s="302"/>
      <c r="C10" s="302"/>
      <c r="D10" s="302"/>
      <c r="E10" s="302"/>
      <c r="F10" s="302"/>
      <c r="G10" s="307" t="s">
        <v>129</v>
      </c>
      <c r="H10" s="306"/>
      <c r="I10" s="308"/>
    </row>
    <row r="11" spans="1:18">
      <c r="A11" s="1"/>
    </row>
    <row r="12" spans="1:18" s="114" customFormat="1" ht="29.4" thickBot="1">
      <c r="A12" s="258" t="s">
        <v>92</v>
      </c>
      <c r="B12" s="264" t="s">
        <v>93</v>
      </c>
      <c r="C12" s="257" t="s">
        <v>94</v>
      </c>
      <c r="D12" s="257" t="s">
        <v>95</v>
      </c>
      <c r="E12" s="264" t="s">
        <v>96</v>
      </c>
      <c r="F12" s="257"/>
      <c r="G12" s="129" t="s">
        <v>97</v>
      </c>
      <c r="H12" s="129" t="s">
        <v>98</v>
      </c>
      <c r="I12" s="130" t="s">
        <v>99</v>
      </c>
      <c r="J12" s="264" t="s">
        <v>100</v>
      </c>
      <c r="K12" s="258" t="s">
        <v>101</v>
      </c>
      <c r="L12" s="258" t="s">
        <v>101</v>
      </c>
    </row>
    <row r="13" spans="1:18" s="114" customFormat="1">
      <c r="A13" s="263"/>
      <c r="B13" s="263" t="s">
        <v>102</v>
      </c>
      <c r="C13" s="263" t="s">
        <v>103</v>
      </c>
      <c r="D13" s="263" t="s">
        <v>103</v>
      </c>
      <c r="E13" s="263" t="s">
        <v>104</v>
      </c>
      <c r="F13" s="263"/>
      <c r="G13" s="263"/>
      <c r="H13" s="263" t="s">
        <v>105</v>
      </c>
      <c r="I13" s="263"/>
      <c r="J13" s="132" t="s">
        <v>106</v>
      </c>
      <c r="K13" s="132" t="s">
        <v>5</v>
      </c>
      <c r="L13" s="132" t="s">
        <v>102</v>
      </c>
      <c r="N13" s="133" t="s">
        <v>107</v>
      </c>
      <c r="O13" s="134"/>
      <c r="P13" s="135"/>
    </row>
    <row r="14" spans="1:18" s="114" customFormat="1">
      <c r="A14" s="110" t="s">
        <v>108</v>
      </c>
      <c r="B14" s="67">
        <v>50</v>
      </c>
      <c r="C14" s="67">
        <v>10.865</v>
      </c>
      <c r="D14" s="67">
        <v>2.5</v>
      </c>
      <c r="E14" s="217">
        <f>H2</f>
        <v>25</v>
      </c>
      <c r="F14" s="110"/>
      <c r="G14" s="136">
        <f>H3</f>
        <v>130</v>
      </c>
      <c r="H14" s="137">
        <f>L14/E14</f>
        <v>138.44443999999999</v>
      </c>
      <c r="I14" s="138">
        <v>0.9</v>
      </c>
      <c r="J14" s="138">
        <v>27</v>
      </c>
      <c r="K14" s="300">
        <f>H1</f>
        <v>3115</v>
      </c>
      <c r="L14" s="67">
        <f>ROUND(K14/I14,3)</f>
        <v>3461.1109999999999</v>
      </c>
      <c r="N14" s="139" t="s">
        <v>109</v>
      </c>
      <c r="O14" s="140"/>
      <c r="P14" s="141"/>
    </row>
    <row r="15" spans="1:18" s="114" customFormat="1">
      <c r="A15" s="142"/>
      <c r="B15" s="113"/>
      <c r="C15" s="113"/>
      <c r="D15" s="113"/>
      <c r="E15" s="143">
        <f>E14/3600</f>
        <v>6.9444444444444441E-3</v>
      </c>
      <c r="F15" s="142" t="s">
        <v>110</v>
      </c>
      <c r="G15" s="142"/>
      <c r="H15" s="144"/>
      <c r="I15" s="145"/>
      <c r="J15" s="146"/>
      <c r="K15" s="146"/>
      <c r="L15" s="113"/>
      <c r="N15" s="139"/>
      <c r="O15" s="140"/>
      <c r="P15" s="141"/>
    </row>
    <row r="16" spans="1:18">
      <c r="A16" s="147" t="s">
        <v>111</v>
      </c>
      <c r="B16" s="109"/>
      <c r="C16" s="148" t="s">
        <v>112</v>
      </c>
      <c r="D16" s="149" t="s">
        <v>110</v>
      </c>
      <c r="E16" s="122" t="s">
        <v>113</v>
      </c>
      <c r="G16" s="9"/>
      <c r="H16" s="9"/>
      <c r="I16" s="150"/>
      <c r="J16" s="9"/>
      <c r="K16" s="151"/>
      <c r="L16" s="113"/>
      <c r="N16" s="152" t="s">
        <v>10</v>
      </c>
      <c r="O16" s="132" t="s">
        <v>75</v>
      </c>
      <c r="P16" s="153" t="s">
        <v>114</v>
      </c>
      <c r="Q16" s="111" t="s">
        <v>115</v>
      </c>
      <c r="R16" s="111" t="s">
        <v>116</v>
      </c>
    </row>
    <row r="17" spans="1:18" ht="15" thickBot="1">
      <c r="A17" s="410" t="s">
        <v>117</v>
      </c>
      <c r="B17" s="411"/>
      <c r="C17" s="154">
        <v>0.06</v>
      </c>
      <c r="D17" s="155">
        <f>E15</f>
        <v>6.9444444444444441E-3</v>
      </c>
      <c r="E17" s="156">
        <f>(4*D17)/(3.14*C17*C17)</f>
        <v>2.4573405677439646</v>
      </c>
      <c r="N17" s="157" t="s">
        <v>118</v>
      </c>
      <c r="O17" s="158">
        <f>Q17/R17</f>
        <v>2.7875131316527271E-2</v>
      </c>
      <c r="P17" s="159">
        <f>J49</f>
        <v>13.892965002155089</v>
      </c>
      <c r="Q17" s="160">
        <f>P17*1000</f>
        <v>13892.96500215509</v>
      </c>
      <c r="R17" s="161">
        <f>$H$14*3600</f>
        <v>498399.98399999994</v>
      </c>
    </row>
    <row r="18" spans="1:18">
      <c r="A18" s="162" t="s">
        <v>171</v>
      </c>
      <c r="B18" s="83"/>
      <c r="C18" s="83"/>
      <c r="D18" s="83"/>
      <c r="E18" s="83"/>
      <c r="F18" s="163"/>
      <c r="G18" s="163"/>
      <c r="H18" s="163"/>
      <c r="I18" s="163"/>
      <c r="J18" s="163"/>
      <c r="K18" s="163"/>
      <c r="L18" s="164"/>
      <c r="N18" s="157" t="s">
        <v>119</v>
      </c>
      <c r="O18" s="158">
        <f>Q18/R18</f>
        <v>0</v>
      </c>
      <c r="P18" s="159">
        <f>K21/1000</f>
        <v>0</v>
      </c>
      <c r="Q18" s="160">
        <f>P18*1000</f>
        <v>0</v>
      </c>
      <c r="R18" s="161">
        <f>$H$14*3600</f>
        <v>498399.98399999994</v>
      </c>
    </row>
    <row r="19" spans="1:18" ht="15.6">
      <c r="A19" s="165" t="s">
        <v>120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N19" s="157" t="s">
        <v>121</v>
      </c>
      <c r="O19" s="166">
        <f>Q19/R19</f>
        <v>0</v>
      </c>
      <c r="P19" s="159">
        <f>L21/1000</f>
        <v>0</v>
      </c>
      <c r="Q19" s="160">
        <f>P19*1000</f>
        <v>0</v>
      </c>
      <c r="R19" s="161">
        <f>$H$14*3600</f>
        <v>498399.98399999994</v>
      </c>
    </row>
    <row r="20" spans="1:18" ht="15" thickBot="1">
      <c r="A20" s="167"/>
      <c r="B20" s="83"/>
      <c r="C20" s="83"/>
      <c r="D20" s="83"/>
      <c r="E20" s="83"/>
      <c r="F20" s="83"/>
      <c r="G20" s="83"/>
      <c r="H20" s="83"/>
      <c r="I20" s="83"/>
      <c r="J20" s="83"/>
      <c r="K20" s="132" t="s">
        <v>122</v>
      </c>
      <c r="L20" s="153" t="s">
        <v>123</v>
      </c>
      <c r="N20" s="168" t="s">
        <v>124</v>
      </c>
      <c r="O20" s="169">
        <f>Q20/R20</f>
        <v>8.3625393949581818E-4</v>
      </c>
      <c r="P20" s="170">
        <f>E88</f>
        <v>0.41678895006465266</v>
      </c>
      <c r="Q20" s="160">
        <f>P20*1000</f>
        <v>416.78895006465268</v>
      </c>
      <c r="R20" s="161">
        <f>$H$14*3600</f>
        <v>498399.98399999994</v>
      </c>
    </row>
    <row r="21" spans="1:18">
      <c r="A21" s="167"/>
      <c r="B21" s="83"/>
      <c r="C21" s="83"/>
      <c r="D21" s="83"/>
      <c r="E21" s="83"/>
      <c r="F21" s="83"/>
      <c r="G21" s="83"/>
      <c r="H21" s="83"/>
      <c r="I21" s="83"/>
      <c r="J21" s="83"/>
      <c r="K21" s="221">
        <f>J23*K25*J24*J26</f>
        <v>0</v>
      </c>
      <c r="L21" s="222">
        <f>J23*L25*J24*J26</f>
        <v>0</v>
      </c>
      <c r="N21" s="167"/>
      <c r="O21" s="83"/>
      <c r="P21" s="84"/>
    </row>
    <row r="22" spans="1:18" ht="15" thickBot="1">
      <c r="A22" s="16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167"/>
      <c r="O22" s="83"/>
      <c r="P22" s="84"/>
    </row>
    <row r="23" spans="1:18">
      <c r="A23" s="412" t="s">
        <v>125</v>
      </c>
      <c r="B23" s="413"/>
      <c r="C23" s="413"/>
      <c r="D23" s="413"/>
      <c r="E23" s="413"/>
      <c r="F23" s="413"/>
      <c r="G23" s="413"/>
      <c r="H23" s="413"/>
      <c r="I23" s="413"/>
      <c r="J23" s="172">
        <v>1E-3</v>
      </c>
      <c r="K23" s="83"/>
      <c r="L23" s="84"/>
      <c r="N23" s="173" t="s">
        <v>126</v>
      </c>
      <c r="O23" s="174"/>
      <c r="P23" s="175"/>
    </row>
    <row r="24" spans="1:18" ht="16.2">
      <c r="A24" s="412" t="s">
        <v>127</v>
      </c>
      <c r="B24" s="413"/>
      <c r="C24" s="413"/>
      <c r="D24" s="413"/>
      <c r="E24" s="413"/>
      <c r="F24" s="413"/>
      <c r="G24" s="413"/>
      <c r="H24" s="413"/>
      <c r="I24" s="413"/>
      <c r="J24" s="176">
        <f>L14</f>
        <v>3461.1109999999999</v>
      </c>
      <c r="K24" s="67" t="s">
        <v>128</v>
      </c>
      <c r="L24" s="177" t="s">
        <v>129</v>
      </c>
      <c r="N24" s="152" t="s">
        <v>10</v>
      </c>
      <c r="O24" s="132" t="s">
        <v>75</v>
      </c>
      <c r="P24" s="153" t="s">
        <v>114</v>
      </c>
      <c r="Q24" s="111" t="s">
        <v>115</v>
      </c>
      <c r="R24" s="111" t="s">
        <v>130</v>
      </c>
    </row>
    <row r="25" spans="1:18" ht="16.2">
      <c r="A25" s="414" t="s">
        <v>131</v>
      </c>
      <c r="B25" s="415"/>
      <c r="C25" s="415"/>
      <c r="D25" s="415"/>
      <c r="E25" s="415"/>
      <c r="F25" s="415"/>
      <c r="G25" s="415"/>
      <c r="H25" s="415"/>
      <c r="I25" s="415"/>
      <c r="J25" s="416"/>
      <c r="K25" s="67">
        <f>H9</f>
        <v>0</v>
      </c>
      <c r="L25" s="177">
        <f>H10</f>
        <v>0</v>
      </c>
      <c r="N25" s="157" t="s">
        <v>118</v>
      </c>
      <c r="O25" s="178">
        <f>Q25/R25</f>
        <v>2.1199737186345257E-5</v>
      </c>
      <c r="P25" s="159">
        <f>J58</f>
        <v>0.66901282623180902</v>
      </c>
      <c r="Q25" s="160">
        <f>P25*1000</f>
        <v>669.01282623180907</v>
      </c>
      <c r="R25" s="8">
        <v>31557600</v>
      </c>
    </row>
    <row r="26" spans="1:18" ht="15" thickBot="1">
      <c r="A26" s="417" t="s">
        <v>132</v>
      </c>
      <c r="B26" s="418"/>
      <c r="C26" s="418"/>
      <c r="D26" s="418"/>
      <c r="E26" s="418"/>
      <c r="F26" s="418"/>
      <c r="G26" s="418"/>
      <c r="H26" s="418"/>
      <c r="I26" s="418"/>
      <c r="J26" s="179">
        <v>1</v>
      </c>
      <c r="K26" s="180"/>
      <c r="L26" s="181"/>
      <c r="N26" s="157" t="s">
        <v>119</v>
      </c>
      <c r="O26" s="178">
        <f>Q26/R26</f>
        <v>0</v>
      </c>
      <c r="P26" s="159">
        <f>K32/1000</f>
        <v>0</v>
      </c>
      <c r="Q26" s="160">
        <f>P26*1000</f>
        <v>0</v>
      </c>
      <c r="R26" s="8">
        <v>31557600</v>
      </c>
    </row>
    <row r="27" spans="1:18" ht="15" thickBot="1">
      <c r="N27" s="157" t="s">
        <v>121</v>
      </c>
      <c r="O27" s="182">
        <f>Q27/R27</f>
        <v>0</v>
      </c>
      <c r="P27" s="159">
        <f>L32/1000</f>
        <v>0</v>
      </c>
      <c r="Q27" s="160">
        <f>P27*1000</f>
        <v>0</v>
      </c>
      <c r="R27" s="8">
        <v>31557600</v>
      </c>
    </row>
    <row r="28" spans="1:18" ht="15" thickBot="1">
      <c r="A28" s="183" t="s">
        <v>133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N28" s="168" t="s">
        <v>124</v>
      </c>
      <c r="O28" s="184">
        <f>Q28/R28</f>
        <v>6.3599211559035752E-7</v>
      </c>
      <c r="P28" s="170">
        <f>F88</f>
        <v>2.0070384786954269E-2</v>
      </c>
      <c r="Q28" s="160">
        <f>P28*1000</f>
        <v>20.070384786954268</v>
      </c>
      <c r="R28" s="8">
        <v>31557600</v>
      </c>
    </row>
    <row r="29" spans="1:18" ht="15" thickBot="1">
      <c r="A29" s="165" t="s">
        <v>134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N29" s="185"/>
      <c r="O29" s="83"/>
      <c r="P29" s="84"/>
    </row>
    <row r="30" spans="1:18">
      <c r="A30" s="16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N30" s="173" t="s">
        <v>90</v>
      </c>
      <c r="O30" s="174"/>
      <c r="P30" s="175"/>
      <c r="R30" s="186"/>
    </row>
    <row r="31" spans="1:18">
      <c r="A31" s="167"/>
      <c r="B31" s="83"/>
      <c r="C31" s="83"/>
      <c r="D31" s="83"/>
      <c r="E31" s="83"/>
      <c r="F31" s="83"/>
      <c r="G31" s="83"/>
      <c r="H31" s="83"/>
      <c r="I31" s="83"/>
      <c r="J31" s="83"/>
      <c r="K31" s="263" t="s">
        <v>122</v>
      </c>
      <c r="L31" s="187" t="s">
        <v>123</v>
      </c>
      <c r="N31" s="152" t="s">
        <v>10</v>
      </c>
      <c r="O31" s="132" t="s">
        <v>75</v>
      </c>
      <c r="P31" s="188" t="s">
        <v>114</v>
      </c>
      <c r="Q31" s="132" t="s">
        <v>5</v>
      </c>
    </row>
    <row r="32" spans="1:18">
      <c r="A32" s="167"/>
      <c r="B32" s="83"/>
      <c r="C32" s="83"/>
      <c r="D32" s="83"/>
      <c r="E32" s="83"/>
      <c r="F32" s="83"/>
      <c r="G32" s="83"/>
      <c r="H32" s="83"/>
      <c r="I32" s="83"/>
      <c r="J32" s="83"/>
      <c r="K32" s="189">
        <f>J33*J34*J35*K36*J37*J38</f>
        <v>0</v>
      </c>
      <c r="L32" s="190">
        <f>J33*J34*J35*L36*J37*J38</f>
        <v>0</v>
      </c>
      <c r="N32" s="157" t="s">
        <v>118</v>
      </c>
      <c r="O32" s="119">
        <f>O17+O25</f>
        <v>2.7896331053713617E-2</v>
      </c>
      <c r="P32" s="191">
        <f>P25+P17</f>
        <v>14.561977828386897</v>
      </c>
      <c r="Q32" s="115">
        <f>P32/1000</f>
        <v>1.4561977828386898E-2</v>
      </c>
    </row>
    <row r="33" spans="1:18">
      <c r="A33" s="407" t="s">
        <v>125</v>
      </c>
      <c r="B33" s="408"/>
      <c r="C33" s="408"/>
      <c r="D33" s="408"/>
      <c r="E33" s="408"/>
      <c r="F33" s="408"/>
      <c r="G33" s="408"/>
      <c r="H33" s="408"/>
      <c r="I33" s="409"/>
      <c r="J33" s="192">
        <v>1E-3</v>
      </c>
      <c r="K33" s="83"/>
      <c r="L33" s="84"/>
      <c r="N33" s="157" t="s">
        <v>119</v>
      </c>
      <c r="O33" s="119">
        <f>O18+O26</f>
        <v>0</v>
      </c>
      <c r="P33" s="191">
        <f>P18+P26</f>
        <v>0</v>
      </c>
      <c r="Q33" s="75">
        <f t="shared" ref="Q33:Q35" si="0">P33/1000</f>
        <v>0</v>
      </c>
      <c r="R33" t="s">
        <v>135</v>
      </c>
    </row>
    <row r="34" spans="1:18">
      <c r="A34" s="407" t="s">
        <v>136</v>
      </c>
      <c r="B34" s="408"/>
      <c r="C34" s="408"/>
      <c r="D34" s="408"/>
      <c r="E34" s="408"/>
      <c r="F34" s="408"/>
      <c r="G34" s="408"/>
      <c r="H34" s="408"/>
      <c r="I34" s="409"/>
      <c r="J34" s="109">
        <f>H4</f>
        <v>365</v>
      </c>
      <c r="K34" s="83"/>
      <c r="L34" s="84"/>
      <c r="N34" s="157" t="s">
        <v>121</v>
      </c>
      <c r="O34" s="119">
        <f>O19+O27</f>
        <v>0</v>
      </c>
      <c r="P34" s="191">
        <f>P19+P27</f>
        <v>0</v>
      </c>
      <c r="Q34" s="75">
        <f t="shared" si="0"/>
        <v>0</v>
      </c>
      <c r="R34" t="s">
        <v>135</v>
      </c>
    </row>
    <row r="35" spans="1:18" ht="17.399999999999999" thickBot="1">
      <c r="A35" s="407" t="s">
        <v>137</v>
      </c>
      <c r="B35" s="408"/>
      <c r="C35" s="408"/>
      <c r="D35" s="408"/>
      <c r="E35" s="408"/>
      <c r="F35" s="408"/>
      <c r="G35" s="408"/>
      <c r="H35" s="408"/>
      <c r="I35" s="409"/>
      <c r="J35" s="158">
        <f>J41</f>
        <v>10.66128125</v>
      </c>
      <c r="K35" s="83"/>
      <c r="L35" s="84"/>
      <c r="N35" s="168" t="s">
        <v>124</v>
      </c>
      <c r="O35" s="223">
        <f>O20+O28</f>
        <v>8.3688993161140852E-4</v>
      </c>
      <c r="P35" s="194">
        <f>P20+P28</f>
        <v>0.43685933485160694</v>
      </c>
      <c r="Q35" s="75">
        <f t="shared" si="0"/>
        <v>4.3685933485160695E-4</v>
      </c>
      <c r="R35" t="s">
        <v>135</v>
      </c>
    </row>
    <row r="36" spans="1:18" ht="16.8">
      <c r="A36" s="407" t="s">
        <v>138</v>
      </c>
      <c r="B36" s="408"/>
      <c r="C36" s="408"/>
      <c r="D36" s="408"/>
      <c r="E36" s="408"/>
      <c r="F36" s="408"/>
      <c r="G36" s="408"/>
      <c r="H36" s="408"/>
      <c r="I36" s="408"/>
      <c r="J36" s="409"/>
      <c r="K36" s="192">
        <f>K25</f>
        <v>0</v>
      </c>
      <c r="L36" s="195">
        <f>L25</f>
        <v>0</v>
      </c>
    </row>
    <row r="37" spans="1:18" ht="15.6">
      <c r="A37" s="407" t="s">
        <v>139</v>
      </c>
      <c r="B37" s="408"/>
      <c r="C37" s="408"/>
      <c r="D37" s="408"/>
      <c r="E37" s="408"/>
      <c r="F37" s="408"/>
      <c r="G37" s="408"/>
      <c r="H37" s="408"/>
      <c r="I37" s="409"/>
      <c r="J37" s="109">
        <f>H8</f>
        <v>4.2999999999999997E-2</v>
      </c>
      <c r="K37" s="83"/>
      <c r="L37" s="84"/>
      <c r="N37" s="196"/>
      <c r="O37" s="142"/>
      <c r="P37" s="142"/>
    </row>
    <row r="38" spans="1:18">
      <c r="A38" s="407" t="s">
        <v>140</v>
      </c>
      <c r="B38" s="408"/>
      <c r="C38" s="408"/>
      <c r="D38" s="408"/>
      <c r="E38" s="408"/>
      <c r="F38" s="408"/>
      <c r="G38" s="408"/>
      <c r="H38" s="408"/>
      <c r="I38" s="409"/>
      <c r="J38" s="172">
        <v>1</v>
      </c>
      <c r="K38" s="83"/>
      <c r="L38" s="84"/>
      <c r="N38" s="197"/>
      <c r="O38" s="198"/>
      <c r="P38" s="9"/>
      <c r="Q38" s="7"/>
      <c r="R38" s="7"/>
    </row>
    <row r="39" spans="1:18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83"/>
      <c r="L39" s="84"/>
      <c r="N39" s="201"/>
      <c r="O39" s="202"/>
      <c r="P39" s="142"/>
    </row>
    <row r="40" spans="1:18" ht="15.6">
      <c r="A40" s="419" t="s">
        <v>141</v>
      </c>
      <c r="B40" s="420"/>
      <c r="C40" s="420"/>
      <c r="D40" s="420"/>
      <c r="E40" s="420"/>
      <c r="F40" s="420"/>
      <c r="G40" s="420"/>
      <c r="H40" s="420"/>
      <c r="I40" s="420"/>
      <c r="J40" s="421"/>
      <c r="K40" s="83"/>
      <c r="L40" s="84"/>
      <c r="N40" s="203"/>
      <c r="O40" s="204"/>
      <c r="P40" s="107"/>
    </row>
    <row r="41" spans="1:18" ht="16.8">
      <c r="A41" s="419" t="s">
        <v>142</v>
      </c>
      <c r="B41" s="420"/>
      <c r="C41" s="420"/>
      <c r="D41" s="420"/>
      <c r="E41" s="420"/>
      <c r="F41" s="420"/>
      <c r="G41" s="420"/>
      <c r="H41" s="420"/>
      <c r="I41" s="421"/>
      <c r="J41" s="158">
        <f>3.14*(J42*J42)*(J43-(J43*J44))/4</f>
        <v>10.66128125</v>
      </c>
      <c r="K41" s="83"/>
      <c r="L41" s="84"/>
      <c r="N41" s="201"/>
      <c r="O41" s="202"/>
      <c r="P41" s="107"/>
    </row>
    <row r="42" spans="1:18">
      <c r="A42" s="407" t="s">
        <v>143</v>
      </c>
      <c r="B42" s="408"/>
      <c r="C42" s="408"/>
      <c r="D42" s="408"/>
      <c r="E42" s="408"/>
      <c r="F42" s="408"/>
      <c r="G42" s="408"/>
      <c r="H42" s="408"/>
      <c r="I42" s="409"/>
      <c r="J42" s="57">
        <f>D14</f>
        <v>2.5</v>
      </c>
      <c r="K42" s="83"/>
      <c r="L42" s="84"/>
      <c r="N42" s="9"/>
      <c r="O42" s="201"/>
      <c r="P42" s="107"/>
    </row>
    <row r="43" spans="1:18" ht="15.6">
      <c r="A43" s="407" t="s">
        <v>144</v>
      </c>
      <c r="B43" s="408"/>
      <c r="C43" s="408"/>
      <c r="D43" s="408"/>
      <c r="E43" s="408"/>
      <c r="F43" s="408"/>
      <c r="G43" s="408"/>
      <c r="H43" s="408"/>
      <c r="I43" s="409"/>
      <c r="J43" s="57">
        <f>C14</f>
        <v>10.865</v>
      </c>
      <c r="K43" s="83"/>
      <c r="L43" s="84"/>
      <c r="N43" s="196"/>
      <c r="O43" s="201"/>
      <c r="P43" s="107"/>
    </row>
    <row r="44" spans="1:18" ht="15" thickBot="1">
      <c r="A44" s="422" t="s">
        <v>145</v>
      </c>
      <c r="B44" s="423"/>
      <c r="C44" s="423"/>
      <c r="D44" s="423"/>
      <c r="E44" s="423"/>
      <c r="F44" s="423"/>
      <c r="G44" s="423"/>
      <c r="H44" s="423"/>
      <c r="I44" s="424"/>
      <c r="J44" s="301">
        <f>H5</f>
        <v>0.8</v>
      </c>
      <c r="K44" s="205"/>
      <c r="L44" s="206"/>
      <c r="N44" s="201"/>
      <c r="O44" s="107"/>
      <c r="P44" s="107"/>
    </row>
    <row r="45" spans="1:18" ht="15" thickBot="1">
      <c r="N45" s="201"/>
      <c r="O45" s="107"/>
      <c r="P45" s="107"/>
    </row>
    <row r="46" spans="1:18">
      <c r="A46" s="183" t="s">
        <v>235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N46" s="201"/>
      <c r="O46" s="107"/>
      <c r="P46" s="107"/>
    </row>
    <row r="47" spans="1:18">
      <c r="A47" s="165" t="s">
        <v>146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N47" s="201"/>
      <c r="O47" s="107"/>
      <c r="P47" s="107"/>
    </row>
    <row r="48" spans="1:18" ht="15" thickBot="1">
      <c r="A48" s="16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N48" s="9"/>
      <c r="O48" s="9"/>
      <c r="P48" s="9"/>
    </row>
    <row r="49" spans="1:15" ht="15" thickBot="1">
      <c r="A49" s="167"/>
      <c r="B49" s="207" t="s">
        <v>147</v>
      </c>
      <c r="C49" s="83"/>
      <c r="D49" s="83"/>
      <c r="E49" s="83"/>
      <c r="F49" s="83"/>
      <c r="G49" s="83"/>
      <c r="H49" s="83"/>
      <c r="I49" s="83"/>
      <c r="J49" s="208">
        <f>J51*J52*1</f>
        <v>13.892965002155089</v>
      </c>
      <c r="K49" s="83"/>
      <c r="L49" s="84"/>
      <c r="O49" t="s">
        <v>148</v>
      </c>
    </row>
    <row r="50" spans="1:15">
      <c r="A50" s="16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5" ht="16.2">
      <c r="A51" s="407" t="s">
        <v>127</v>
      </c>
      <c r="B51" s="408"/>
      <c r="C51" s="408"/>
      <c r="D51" s="408"/>
      <c r="E51" s="408"/>
      <c r="F51" s="408"/>
      <c r="G51" s="408"/>
      <c r="H51" s="408"/>
      <c r="I51" s="409"/>
      <c r="J51" s="209">
        <f>J24</f>
        <v>3461.1109999999999</v>
      </c>
      <c r="K51" s="83"/>
      <c r="L51" s="84"/>
    </row>
    <row r="52" spans="1:15" ht="16.8">
      <c r="A52" s="407" t="s">
        <v>149</v>
      </c>
      <c r="B52" s="408"/>
      <c r="C52" s="408"/>
      <c r="D52" s="408"/>
      <c r="E52" s="408"/>
      <c r="F52" s="408"/>
      <c r="G52" s="408"/>
      <c r="H52" s="408"/>
      <c r="I52" s="409"/>
      <c r="J52" s="158">
        <f>J69</f>
        <v>4.0140189095799264E-3</v>
      </c>
      <c r="K52" s="83"/>
      <c r="L52" s="84"/>
    </row>
    <row r="53" spans="1:15" ht="15" thickBot="1">
      <c r="A53" s="428" t="s">
        <v>150</v>
      </c>
      <c r="B53" s="429"/>
      <c r="C53" s="429"/>
      <c r="D53" s="429"/>
      <c r="E53" s="429"/>
      <c r="F53" s="429"/>
      <c r="G53" s="429"/>
      <c r="H53" s="429"/>
      <c r="I53" s="430"/>
      <c r="J53" s="179">
        <v>1</v>
      </c>
      <c r="K53" s="205"/>
      <c r="L53" s="206"/>
    </row>
    <row r="54" spans="1:15" ht="15" thickBot="1"/>
    <row r="55" spans="1:15">
      <c r="A55" s="183" t="s">
        <v>236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5" ht="15.6">
      <c r="A56" s="165" t="s">
        <v>151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1:15" ht="15" thickBot="1">
      <c r="A57" s="1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5" ht="15" thickBot="1">
      <c r="A58" s="167"/>
      <c r="B58" s="83"/>
      <c r="C58" s="83"/>
      <c r="D58" s="83"/>
      <c r="E58" s="83"/>
      <c r="F58" s="83"/>
      <c r="G58" s="83"/>
      <c r="H58" s="83"/>
      <c r="I58" s="83"/>
      <c r="J58" s="210">
        <f>J60*J61*J62*J63*J64*J65</f>
        <v>0.66901282623180902</v>
      </c>
      <c r="K58" s="83"/>
      <c r="L58" s="84"/>
    </row>
    <row r="59" spans="1:15">
      <c r="A59" s="16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5">
      <c r="A60" s="431" t="s">
        <v>136</v>
      </c>
      <c r="B60" s="432"/>
      <c r="C60" s="432"/>
      <c r="D60" s="432"/>
      <c r="E60" s="432"/>
      <c r="F60" s="432"/>
      <c r="G60" s="432"/>
      <c r="H60" s="432"/>
      <c r="I60" s="433"/>
      <c r="J60" s="109">
        <f>J34</f>
        <v>365</v>
      </c>
      <c r="K60" s="83"/>
      <c r="L60" s="84"/>
    </row>
    <row r="61" spans="1:15" ht="16.2">
      <c r="A61" s="431" t="s">
        <v>152</v>
      </c>
      <c r="B61" s="432"/>
      <c r="C61" s="432"/>
      <c r="D61" s="432"/>
      <c r="E61" s="432"/>
      <c r="F61" s="432"/>
      <c r="G61" s="432"/>
      <c r="H61" s="432"/>
      <c r="I61" s="433"/>
      <c r="J61" s="158">
        <f>J41</f>
        <v>10.66128125</v>
      </c>
      <c r="K61" s="83"/>
      <c r="L61" s="84"/>
    </row>
    <row r="62" spans="1:15" ht="16.2">
      <c r="A62" s="431" t="s">
        <v>153</v>
      </c>
      <c r="B62" s="432"/>
      <c r="C62" s="432"/>
      <c r="D62" s="432"/>
      <c r="E62" s="432"/>
      <c r="F62" s="432"/>
      <c r="G62" s="432"/>
      <c r="H62" s="432"/>
      <c r="I62" s="433"/>
      <c r="J62" s="158">
        <f>J69</f>
        <v>4.0140189095799264E-3</v>
      </c>
      <c r="K62" s="83"/>
      <c r="L62" s="84"/>
    </row>
    <row r="63" spans="1:15" ht="15.6">
      <c r="A63" s="431" t="s">
        <v>139</v>
      </c>
      <c r="B63" s="432"/>
      <c r="C63" s="432"/>
      <c r="D63" s="432"/>
      <c r="E63" s="432"/>
      <c r="F63" s="432"/>
      <c r="G63" s="432"/>
      <c r="H63" s="432"/>
      <c r="I63" s="433"/>
      <c r="J63" s="172">
        <f>J37</f>
        <v>4.2999999999999997E-2</v>
      </c>
      <c r="K63" s="83"/>
      <c r="L63" s="84"/>
    </row>
    <row r="64" spans="1:15" ht="15.6">
      <c r="A64" s="431" t="s">
        <v>154</v>
      </c>
      <c r="B64" s="432"/>
      <c r="C64" s="432"/>
      <c r="D64" s="432"/>
      <c r="E64" s="432"/>
      <c r="F64" s="432"/>
      <c r="G64" s="432"/>
      <c r="H64" s="432"/>
      <c r="I64" s="433"/>
      <c r="J64" s="158">
        <f>J76</f>
        <v>0.99605726985383003</v>
      </c>
      <c r="K64" s="83"/>
      <c r="L64" s="84"/>
    </row>
    <row r="65" spans="1:12">
      <c r="A65" s="431" t="s">
        <v>155</v>
      </c>
      <c r="B65" s="432"/>
      <c r="C65" s="432"/>
      <c r="D65" s="432"/>
      <c r="E65" s="432"/>
      <c r="F65" s="432"/>
      <c r="G65" s="432"/>
      <c r="H65" s="432"/>
      <c r="I65" s="433"/>
      <c r="J65" s="172">
        <v>1</v>
      </c>
      <c r="K65" s="83"/>
      <c r="L65" s="84"/>
    </row>
    <row r="66" spans="1:12">
      <c r="A66" s="2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4"/>
    </row>
    <row r="67" spans="1:12" ht="15">
      <c r="A67" s="425" t="s">
        <v>237</v>
      </c>
      <c r="B67" s="434"/>
      <c r="C67" s="434"/>
      <c r="D67" s="434"/>
      <c r="E67" s="434"/>
      <c r="F67" s="434"/>
      <c r="G67" s="434"/>
      <c r="H67" s="434"/>
      <c r="I67" s="434"/>
      <c r="J67" s="435"/>
      <c r="K67" s="83"/>
      <c r="L67" s="84"/>
    </row>
    <row r="68" spans="1:12" ht="15" thickBot="1">
      <c r="A68" s="2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ht="15" thickBot="1">
      <c r="A69" s="212"/>
      <c r="B69" s="83"/>
      <c r="C69" s="83"/>
      <c r="D69" s="83"/>
      <c r="E69" s="83"/>
      <c r="F69" s="83"/>
      <c r="G69" s="83"/>
      <c r="H69" s="83"/>
      <c r="I69" s="83"/>
      <c r="J69" s="213">
        <f>(J71*J72)/(J73*J74)</f>
        <v>4.0140189095799264E-3</v>
      </c>
      <c r="K69" s="83"/>
      <c r="L69" s="84"/>
    </row>
    <row r="70" spans="1:12">
      <c r="A70" s="2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</row>
    <row r="71" spans="1:12">
      <c r="A71" s="407" t="s">
        <v>156</v>
      </c>
      <c r="B71" s="408"/>
      <c r="C71" s="408"/>
      <c r="D71" s="408"/>
      <c r="E71" s="408"/>
      <c r="F71" s="408"/>
      <c r="G71" s="408"/>
      <c r="H71" s="408"/>
      <c r="I71" s="409"/>
      <c r="J71" s="109">
        <f>G14</f>
        <v>130</v>
      </c>
      <c r="K71" s="83"/>
      <c r="L71" s="84"/>
    </row>
    <row r="72" spans="1:12">
      <c r="A72" s="214" t="s">
        <v>157</v>
      </c>
      <c r="B72" s="172"/>
      <c r="C72" s="172"/>
      <c r="D72" s="172"/>
      <c r="E72" s="172"/>
      <c r="F72" s="172"/>
      <c r="G72" s="172"/>
      <c r="H72" s="172"/>
      <c r="I72" s="172"/>
      <c r="J72" s="57">
        <f>H6</f>
        <v>7.1999999999999995E-2</v>
      </c>
      <c r="K72" s="83"/>
      <c r="L72" s="84"/>
    </row>
    <row r="73" spans="1:12" ht="16.2">
      <c r="A73" s="407" t="s">
        <v>158</v>
      </c>
      <c r="B73" s="408"/>
      <c r="C73" s="408"/>
      <c r="D73" s="408"/>
      <c r="E73" s="408"/>
      <c r="F73" s="408"/>
      <c r="G73" s="408"/>
      <c r="H73" s="408"/>
      <c r="I73" s="409"/>
      <c r="J73" s="172">
        <v>8.3140000000000001</v>
      </c>
      <c r="K73" s="83"/>
      <c r="L73" s="84"/>
    </row>
    <row r="74" spans="1:12" ht="15.6">
      <c r="A74" s="407" t="s">
        <v>159</v>
      </c>
      <c r="B74" s="408"/>
      <c r="C74" s="408"/>
      <c r="D74" s="408"/>
      <c r="E74" s="408"/>
      <c r="F74" s="408"/>
      <c r="G74" s="408"/>
      <c r="H74" s="408"/>
      <c r="I74" s="409"/>
      <c r="J74" s="57">
        <f>H7</f>
        <v>280.47000000000003</v>
      </c>
      <c r="K74" s="83"/>
      <c r="L74" s="84"/>
    </row>
    <row r="75" spans="1:12" ht="16.2" thickBot="1">
      <c r="A75" s="425" t="s">
        <v>160</v>
      </c>
      <c r="B75" s="426"/>
      <c r="C75" s="426"/>
      <c r="D75" s="426"/>
      <c r="E75" s="426"/>
      <c r="F75" s="426"/>
      <c r="G75" s="426"/>
      <c r="H75" s="426"/>
      <c r="I75" s="427"/>
      <c r="J75" s="215"/>
      <c r="K75" s="83"/>
      <c r="L75" s="84"/>
    </row>
    <row r="76" spans="1:12" ht="16.2" thickBot="1">
      <c r="A76" s="439" t="s">
        <v>161</v>
      </c>
      <c r="B76" s="440"/>
      <c r="C76" s="440"/>
      <c r="D76" s="440"/>
      <c r="E76" s="440"/>
      <c r="F76" s="440"/>
      <c r="G76" s="440"/>
      <c r="H76" s="440"/>
      <c r="I76" s="441"/>
      <c r="J76" s="213">
        <f>1/(1+(J77*J78*(J79-(J79*J80))))</f>
        <v>0.99605726985383003</v>
      </c>
      <c r="K76" s="83"/>
      <c r="L76" s="84"/>
    </row>
    <row r="77" spans="1:12">
      <c r="A77" s="407" t="s">
        <v>162</v>
      </c>
      <c r="B77" s="408"/>
      <c r="C77" s="408"/>
      <c r="D77" s="408"/>
      <c r="E77" s="408"/>
      <c r="F77" s="408"/>
      <c r="G77" s="408"/>
      <c r="H77" s="408"/>
      <c r="I77" s="409"/>
      <c r="J77" s="216">
        <v>2.53E-2</v>
      </c>
      <c r="K77" s="83"/>
      <c r="L77" s="84"/>
    </row>
    <row r="78" spans="1:12">
      <c r="A78" s="214" t="s">
        <v>157</v>
      </c>
      <c r="B78" s="172"/>
      <c r="C78" s="172"/>
      <c r="D78" s="172"/>
      <c r="E78" s="172"/>
      <c r="F78" s="172"/>
      <c r="G78" s="172"/>
      <c r="H78" s="172"/>
      <c r="I78" s="172"/>
      <c r="J78" s="109">
        <f>J72</f>
        <v>7.1999999999999995E-2</v>
      </c>
      <c r="K78" s="83"/>
      <c r="L78" s="84"/>
    </row>
    <row r="79" spans="1:12" ht="15.6">
      <c r="A79" s="407" t="s">
        <v>144</v>
      </c>
      <c r="B79" s="408"/>
      <c r="C79" s="408"/>
      <c r="D79" s="408"/>
      <c r="E79" s="408"/>
      <c r="F79" s="408"/>
      <c r="G79" s="408"/>
      <c r="H79" s="408"/>
      <c r="I79" s="409"/>
      <c r="J79" s="172">
        <f>J43</f>
        <v>10.865</v>
      </c>
      <c r="K79" s="83"/>
      <c r="L79" s="84"/>
    </row>
    <row r="80" spans="1:12" ht="15" thickBot="1">
      <c r="A80" s="428" t="s">
        <v>163</v>
      </c>
      <c r="B80" s="429"/>
      <c r="C80" s="429"/>
      <c r="D80" s="429"/>
      <c r="E80" s="429"/>
      <c r="F80" s="429"/>
      <c r="G80" s="429"/>
      <c r="H80" s="429"/>
      <c r="I80" s="430"/>
      <c r="J80" s="179">
        <f>J44</f>
        <v>0.8</v>
      </c>
      <c r="K80" s="205"/>
      <c r="L80" s="206"/>
    </row>
    <row r="81" spans="1:16" ht="15" thickBot="1"/>
    <row r="82" spans="1:16">
      <c r="A82" s="183" t="s">
        <v>164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</row>
    <row r="83" spans="1:16">
      <c r="A83" s="211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>
      <c r="A84" s="211" t="s">
        <v>166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</row>
    <row r="85" spans="1:16">
      <c r="A85" s="21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</row>
    <row r="86" spans="1:16">
      <c r="A86" s="2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</row>
    <row r="87" spans="1:16">
      <c r="A87" s="442" t="s">
        <v>167</v>
      </c>
      <c r="B87" s="443" t="s">
        <v>168</v>
      </c>
      <c r="C87" s="444"/>
      <c r="D87" s="445"/>
      <c r="E87" s="217" t="s">
        <v>169</v>
      </c>
      <c r="F87" s="217" t="s">
        <v>170</v>
      </c>
      <c r="G87" s="83"/>
      <c r="H87" s="83"/>
      <c r="I87" s="83"/>
      <c r="J87" s="83"/>
      <c r="K87" s="83"/>
      <c r="L87" s="83"/>
      <c r="M87" s="83"/>
      <c r="N87" s="83"/>
      <c r="O87" s="83"/>
      <c r="P87" s="84"/>
    </row>
    <row r="88" spans="1:16">
      <c r="A88" s="442"/>
      <c r="B88" s="446" t="s">
        <v>114</v>
      </c>
      <c r="C88" s="447"/>
      <c r="D88" s="448"/>
      <c r="E88" s="171">
        <f>A89*J49</f>
        <v>0.41678895006465266</v>
      </c>
      <c r="F88" s="218">
        <f>J58*A89</f>
        <v>2.0070384786954269E-2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ht="15" thickBot="1">
      <c r="A89" s="219">
        <v>0.03</v>
      </c>
      <c r="B89" s="436"/>
      <c r="C89" s="437"/>
      <c r="D89" s="438"/>
      <c r="E89" s="220"/>
      <c r="F89" s="220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1:16">
      <c r="B90"/>
      <c r="C90"/>
    </row>
    <row r="91" spans="1:16">
      <c r="A91"/>
    </row>
    <row r="92" spans="1:16">
      <c r="A92"/>
    </row>
  </sheetData>
  <mergeCells count="46">
    <mergeCell ref="A25:J25"/>
    <mergeCell ref="A1:G1"/>
    <mergeCell ref="A2:G2"/>
    <mergeCell ref="A3:G3"/>
    <mergeCell ref="A4:G4"/>
    <mergeCell ref="A5:G5"/>
    <mergeCell ref="A6:G6"/>
    <mergeCell ref="A7:G7"/>
    <mergeCell ref="A8:G8"/>
    <mergeCell ref="A17:B17"/>
    <mergeCell ref="A23:I23"/>
    <mergeCell ref="A24:I24"/>
    <mergeCell ref="A44:I44"/>
    <mergeCell ref="A26:I26"/>
    <mergeCell ref="A33:I33"/>
    <mergeCell ref="A34:I34"/>
    <mergeCell ref="A35:I35"/>
    <mergeCell ref="A36:J36"/>
    <mergeCell ref="A37:I37"/>
    <mergeCell ref="A38:I38"/>
    <mergeCell ref="A40:J40"/>
    <mergeCell ref="A41:I41"/>
    <mergeCell ref="A42:I42"/>
    <mergeCell ref="A43:I43"/>
    <mergeCell ref="A73:I73"/>
    <mergeCell ref="A51:I51"/>
    <mergeCell ref="A52:I52"/>
    <mergeCell ref="A53:I53"/>
    <mergeCell ref="A60:I60"/>
    <mergeCell ref="A61:I61"/>
    <mergeCell ref="A62:I62"/>
    <mergeCell ref="A63:I63"/>
    <mergeCell ref="A64:I64"/>
    <mergeCell ref="A65:I65"/>
    <mergeCell ref="A67:J67"/>
    <mergeCell ref="A71:I71"/>
    <mergeCell ref="A87:A88"/>
    <mergeCell ref="B87:D87"/>
    <mergeCell ref="B88:D88"/>
    <mergeCell ref="B89:D89"/>
    <mergeCell ref="A74:I74"/>
    <mergeCell ref="A75:I75"/>
    <mergeCell ref="A76:I76"/>
    <mergeCell ref="A77:I77"/>
    <mergeCell ref="A79:I79"/>
    <mergeCell ref="A80:I8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2"/>
  <sheetViews>
    <sheetView topLeftCell="C1" zoomScaleNormal="100" workbookViewId="0">
      <selection activeCell="H15" sqref="H15"/>
    </sheetView>
  </sheetViews>
  <sheetFormatPr defaultColWidth="8.88671875" defaultRowHeight="14.4"/>
  <cols>
    <col min="1" max="1" width="13.21875" style="8" customWidth="1"/>
    <col min="2" max="2" width="9.21875" style="8" bestFit="1" customWidth="1"/>
    <col min="3" max="3" width="10.5546875" style="8" bestFit="1" customWidth="1"/>
    <col min="4" max="4" width="12.88671875" style="8" bestFit="1" customWidth="1"/>
    <col min="5" max="5" width="16.44140625" style="8" customWidth="1"/>
    <col min="6" max="6" width="12.5546875" style="8" customWidth="1"/>
    <col min="7" max="7" width="46.21875" style="8" customWidth="1"/>
    <col min="8" max="8" width="12.6640625" style="8" customWidth="1"/>
    <col min="9" max="9" width="21" style="8" customWidth="1"/>
    <col min="10" max="10" width="18.88671875" style="8" bestFit="1" customWidth="1"/>
    <col min="11" max="11" width="17.77734375" style="8" customWidth="1"/>
    <col min="12" max="12" width="21.44140625" style="8" customWidth="1"/>
    <col min="13" max="13" width="6.33203125" style="8" customWidth="1"/>
    <col min="14" max="14" width="24" style="8" customWidth="1"/>
    <col min="15" max="15" width="16.33203125" style="8" customWidth="1"/>
    <col min="16" max="16" width="13.109375" style="8" customWidth="1"/>
    <col min="17" max="18" width="13.6640625" style="8" customWidth="1"/>
    <col min="19" max="16384" width="8.88671875" style="8"/>
  </cols>
  <sheetData>
    <row r="1" spans="1:18">
      <c r="A1" s="401" t="s">
        <v>101</v>
      </c>
      <c r="B1" s="401"/>
      <c r="C1" s="401"/>
      <c r="D1" s="401"/>
      <c r="E1" s="401"/>
      <c r="F1" s="401"/>
      <c r="G1" s="401"/>
      <c r="H1" s="193">
        <f>Algandmed!F33</f>
        <v>3225</v>
      </c>
      <c r="I1" s="109" t="s">
        <v>5</v>
      </c>
    </row>
    <row r="2" spans="1:18">
      <c r="A2" s="401" t="s">
        <v>96</v>
      </c>
      <c r="B2" s="401"/>
      <c r="C2" s="401"/>
      <c r="D2" s="401"/>
      <c r="E2" s="401"/>
      <c r="F2" s="401"/>
      <c r="G2" s="401"/>
      <c r="H2" s="193">
        <v>25</v>
      </c>
      <c r="I2" s="109" t="s">
        <v>104</v>
      </c>
    </row>
    <row r="3" spans="1:18">
      <c r="A3" s="404" t="s">
        <v>97</v>
      </c>
      <c r="B3" s="405"/>
      <c r="C3" s="405"/>
      <c r="D3" s="405"/>
      <c r="E3" s="405"/>
      <c r="F3" s="405"/>
      <c r="G3" s="406"/>
      <c r="H3" s="193">
        <v>72</v>
      </c>
      <c r="I3" s="147" t="s">
        <v>239</v>
      </c>
    </row>
    <row r="4" spans="1:18">
      <c r="A4" s="402" t="s">
        <v>136</v>
      </c>
      <c r="B4" s="402"/>
      <c r="C4" s="402"/>
      <c r="D4" s="402"/>
      <c r="E4" s="402"/>
      <c r="F4" s="402"/>
      <c r="G4" s="402"/>
      <c r="H4" s="305">
        <f>Algandmed!F24</f>
        <v>365</v>
      </c>
      <c r="I4" s="303" t="s">
        <v>238</v>
      </c>
    </row>
    <row r="5" spans="1:18">
      <c r="A5" s="403" t="s">
        <v>145</v>
      </c>
      <c r="B5" s="403"/>
      <c r="C5" s="403"/>
      <c r="D5" s="403"/>
      <c r="E5" s="403"/>
      <c r="F5" s="403"/>
      <c r="G5" s="403"/>
      <c r="H5" s="306">
        <v>0.8</v>
      </c>
      <c r="I5" s="304" t="s">
        <v>72</v>
      </c>
    </row>
    <row r="6" spans="1:18">
      <c r="A6" s="402" t="s">
        <v>157</v>
      </c>
      <c r="B6" s="402"/>
      <c r="C6" s="402"/>
      <c r="D6" s="402"/>
      <c r="E6" s="402"/>
      <c r="F6" s="402"/>
      <c r="G6" s="402"/>
      <c r="H6" s="306">
        <v>0.81</v>
      </c>
      <c r="I6" s="304" t="s">
        <v>231</v>
      </c>
    </row>
    <row r="7" spans="1:18" ht="15.6">
      <c r="A7" s="402" t="s">
        <v>233</v>
      </c>
      <c r="B7" s="402"/>
      <c r="C7" s="402"/>
      <c r="D7" s="402"/>
      <c r="E7" s="402"/>
      <c r="F7" s="402"/>
      <c r="G7" s="402"/>
      <c r="H7" s="305">
        <v>280.47000000000003</v>
      </c>
      <c r="I7" s="303" t="s">
        <v>232</v>
      </c>
    </row>
    <row r="8" spans="1:18" ht="15.6">
      <c r="A8" s="402" t="s">
        <v>230</v>
      </c>
      <c r="B8" s="402"/>
      <c r="C8" s="402"/>
      <c r="D8" s="402"/>
      <c r="E8" s="402"/>
      <c r="F8" s="402"/>
      <c r="G8" s="402"/>
      <c r="H8" s="305">
        <v>4.2999999999999997E-2</v>
      </c>
      <c r="I8" s="303"/>
    </row>
    <row r="9" spans="1:18" ht="16.2">
      <c r="A9" s="259" t="s">
        <v>234</v>
      </c>
      <c r="B9" s="260"/>
      <c r="C9" s="260"/>
      <c r="D9" s="260"/>
      <c r="E9" s="260"/>
      <c r="F9" s="260"/>
      <c r="G9" s="260"/>
      <c r="H9" s="306">
        <v>50</v>
      </c>
      <c r="I9" s="309" t="s">
        <v>240</v>
      </c>
      <c r="J9" s="302"/>
    </row>
    <row r="10" spans="1:18">
      <c r="A10" s="302"/>
      <c r="B10" s="302"/>
      <c r="C10" s="302"/>
      <c r="D10" s="302"/>
      <c r="E10" s="302"/>
      <c r="F10" s="302"/>
      <c r="G10" s="307" t="s">
        <v>129</v>
      </c>
      <c r="H10" s="306">
        <v>5</v>
      </c>
      <c r="I10" s="309" t="s">
        <v>240</v>
      </c>
    </row>
    <row r="11" spans="1:18">
      <c r="A11" s="1"/>
    </row>
    <row r="12" spans="1:18" s="114" customFormat="1" ht="29.4" thickBot="1">
      <c r="A12" s="258" t="s">
        <v>92</v>
      </c>
      <c r="B12" s="264" t="s">
        <v>93</v>
      </c>
      <c r="C12" s="257" t="s">
        <v>94</v>
      </c>
      <c r="D12" s="257" t="s">
        <v>95</v>
      </c>
      <c r="E12" s="264" t="s">
        <v>96</v>
      </c>
      <c r="F12" s="257"/>
      <c r="G12" s="129" t="s">
        <v>97</v>
      </c>
      <c r="H12" s="129" t="s">
        <v>98</v>
      </c>
      <c r="I12" s="130" t="s">
        <v>99</v>
      </c>
      <c r="J12" s="264" t="s">
        <v>100</v>
      </c>
      <c r="K12" s="258" t="s">
        <v>101</v>
      </c>
      <c r="L12" s="258" t="s">
        <v>101</v>
      </c>
    </row>
    <row r="13" spans="1:18" s="114" customFormat="1">
      <c r="A13" s="263"/>
      <c r="B13" s="263" t="s">
        <v>102</v>
      </c>
      <c r="C13" s="263" t="s">
        <v>103</v>
      </c>
      <c r="D13" s="263" t="s">
        <v>103</v>
      </c>
      <c r="E13" s="263" t="s">
        <v>104</v>
      </c>
      <c r="F13" s="263"/>
      <c r="G13" s="263"/>
      <c r="H13" s="263" t="s">
        <v>105</v>
      </c>
      <c r="I13" s="263"/>
      <c r="J13" s="132" t="s">
        <v>106</v>
      </c>
      <c r="K13" s="132" t="s">
        <v>5</v>
      </c>
      <c r="L13" s="132" t="s">
        <v>102</v>
      </c>
      <c r="N13" s="133" t="s">
        <v>107</v>
      </c>
      <c r="O13" s="134"/>
      <c r="P13" s="135"/>
    </row>
    <row r="14" spans="1:18" s="114" customFormat="1">
      <c r="A14" s="110" t="s">
        <v>108</v>
      </c>
      <c r="B14" s="67">
        <v>50</v>
      </c>
      <c r="C14" s="67">
        <v>10.865</v>
      </c>
      <c r="D14" s="67">
        <v>2.5</v>
      </c>
      <c r="E14" s="217">
        <f>H2</f>
        <v>25</v>
      </c>
      <c r="F14" s="110"/>
      <c r="G14" s="136">
        <f>H3</f>
        <v>72</v>
      </c>
      <c r="H14" s="137">
        <f>L14/E14</f>
        <v>143.33332000000001</v>
      </c>
      <c r="I14" s="138">
        <v>0.9</v>
      </c>
      <c r="J14" s="138">
        <v>27</v>
      </c>
      <c r="K14" s="300">
        <f>H1</f>
        <v>3225</v>
      </c>
      <c r="L14" s="67">
        <f>ROUND(K14/I14,3)</f>
        <v>3583.3330000000001</v>
      </c>
      <c r="N14" s="139" t="s">
        <v>109</v>
      </c>
      <c r="O14" s="140"/>
      <c r="P14" s="141"/>
    </row>
    <row r="15" spans="1:18" s="114" customFormat="1">
      <c r="A15" s="142"/>
      <c r="B15" s="113"/>
      <c r="C15" s="113"/>
      <c r="D15" s="113"/>
      <c r="E15" s="143">
        <f>E14/3600</f>
        <v>6.9444444444444441E-3</v>
      </c>
      <c r="F15" s="142" t="s">
        <v>110</v>
      </c>
      <c r="G15" s="142"/>
      <c r="H15" s="144"/>
      <c r="I15" s="145"/>
      <c r="J15" s="146"/>
      <c r="K15" s="146"/>
      <c r="L15" s="113"/>
      <c r="N15" s="139"/>
      <c r="O15" s="140"/>
      <c r="P15" s="141"/>
    </row>
    <row r="16" spans="1:18">
      <c r="A16" s="147" t="s">
        <v>111</v>
      </c>
      <c r="B16" s="109"/>
      <c r="C16" s="148" t="s">
        <v>112</v>
      </c>
      <c r="D16" s="149" t="s">
        <v>110</v>
      </c>
      <c r="E16" s="122" t="s">
        <v>113</v>
      </c>
      <c r="G16" s="9"/>
      <c r="H16" s="9"/>
      <c r="I16" s="150"/>
      <c r="J16" s="9"/>
      <c r="K16" s="151"/>
      <c r="L16" s="113"/>
      <c r="N16" s="152" t="s">
        <v>10</v>
      </c>
      <c r="O16" s="132" t="s">
        <v>75</v>
      </c>
      <c r="P16" s="153" t="s">
        <v>114</v>
      </c>
      <c r="Q16" s="111" t="s">
        <v>115</v>
      </c>
      <c r="R16" s="111" t="s">
        <v>116</v>
      </c>
    </row>
    <row r="17" spans="1:18" ht="15" thickBot="1">
      <c r="A17" s="410" t="s">
        <v>117</v>
      </c>
      <c r="B17" s="411"/>
      <c r="C17" s="154">
        <v>0.06</v>
      </c>
      <c r="D17" s="155">
        <f>E15</f>
        <v>6.9444444444444441E-3</v>
      </c>
      <c r="E17" s="156">
        <f>(4*D17)/(3.14*C17*C17)</f>
        <v>2.4573405677439646</v>
      </c>
      <c r="N17" s="157" t="s">
        <v>118</v>
      </c>
      <c r="O17" s="158">
        <f>Q17/R17</f>
        <v>0.17368351051066994</v>
      </c>
      <c r="P17" s="159">
        <f>J49</f>
        <v>89.620683086697184</v>
      </c>
      <c r="Q17" s="160">
        <f>P17*1000</f>
        <v>89620.683086697187</v>
      </c>
      <c r="R17" s="161">
        <f>$H$14*3600</f>
        <v>515999.95200000005</v>
      </c>
    </row>
    <row r="18" spans="1:18">
      <c r="A18" s="162" t="s">
        <v>171</v>
      </c>
      <c r="B18" s="83"/>
      <c r="C18" s="83"/>
      <c r="D18" s="83"/>
      <c r="E18" s="83"/>
      <c r="F18" s="163"/>
      <c r="G18" s="163"/>
      <c r="H18" s="163"/>
      <c r="I18" s="163"/>
      <c r="J18" s="163"/>
      <c r="K18" s="163"/>
      <c r="L18" s="164"/>
      <c r="N18" s="157" t="s">
        <v>119</v>
      </c>
      <c r="O18" s="158">
        <f>Q18/R18</f>
        <v>3.4722222222222218E-4</v>
      </c>
      <c r="P18" s="159">
        <f>K21/1000</f>
        <v>0.17916665000000001</v>
      </c>
      <c r="Q18" s="160">
        <f>P18*1000</f>
        <v>179.16665</v>
      </c>
      <c r="R18" s="161">
        <f>$H$14*3600</f>
        <v>515999.95200000005</v>
      </c>
    </row>
    <row r="19" spans="1:18" ht="15.6">
      <c r="A19" s="165" t="s">
        <v>120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4"/>
      <c r="N19" s="157" t="s">
        <v>121</v>
      </c>
      <c r="O19" s="166">
        <f>Q19/R19</f>
        <v>3.4722222222222222E-5</v>
      </c>
      <c r="P19" s="159">
        <f>L21/1000</f>
        <v>1.7916665000000002E-2</v>
      </c>
      <c r="Q19" s="160">
        <f>P19*1000</f>
        <v>17.916665000000002</v>
      </c>
      <c r="R19" s="161">
        <f>$H$14*3600</f>
        <v>515999.95200000005</v>
      </c>
    </row>
    <row r="20" spans="1:18" ht="15" thickBot="1">
      <c r="A20" s="167"/>
      <c r="B20" s="83"/>
      <c r="C20" s="83"/>
      <c r="D20" s="83"/>
      <c r="E20" s="83"/>
      <c r="F20" s="83"/>
      <c r="G20" s="83"/>
      <c r="H20" s="83"/>
      <c r="I20" s="83"/>
      <c r="J20" s="83"/>
      <c r="K20" s="132" t="s">
        <v>122</v>
      </c>
      <c r="L20" s="153" t="s">
        <v>123</v>
      </c>
      <c r="N20" s="168" t="s">
        <v>124</v>
      </c>
      <c r="O20" s="169">
        <f>Q20/R20</f>
        <v>5.2105053153200971E-3</v>
      </c>
      <c r="P20" s="170">
        <f>E88</f>
        <v>2.6886204926009154</v>
      </c>
      <c r="Q20" s="160">
        <f>P20*1000</f>
        <v>2688.6204926009154</v>
      </c>
      <c r="R20" s="161">
        <f>$H$14*3600</f>
        <v>515999.95200000005</v>
      </c>
    </row>
    <row r="21" spans="1:18">
      <c r="A21" s="167"/>
      <c r="B21" s="83"/>
      <c r="C21" s="83"/>
      <c r="D21" s="83"/>
      <c r="E21" s="83"/>
      <c r="F21" s="83"/>
      <c r="G21" s="83"/>
      <c r="H21" s="83"/>
      <c r="I21" s="83"/>
      <c r="J21" s="83"/>
      <c r="K21" s="221">
        <f>J23*K25*J24*J26</f>
        <v>179.16665</v>
      </c>
      <c r="L21" s="222">
        <f>J23*L25*J24*J26</f>
        <v>17.916665000000002</v>
      </c>
      <c r="N21" s="167"/>
      <c r="O21" s="83"/>
      <c r="P21" s="84"/>
    </row>
    <row r="22" spans="1:18" ht="15" thickBot="1">
      <c r="A22" s="167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N22" s="167"/>
      <c r="O22" s="83"/>
      <c r="P22" s="84"/>
    </row>
    <row r="23" spans="1:18">
      <c r="A23" s="412" t="s">
        <v>125</v>
      </c>
      <c r="B23" s="413"/>
      <c r="C23" s="413"/>
      <c r="D23" s="413"/>
      <c r="E23" s="413"/>
      <c r="F23" s="413"/>
      <c r="G23" s="413"/>
      <c r="H23" s="413"/>
      <c r="I23" s="413"/>
      <c r="J23" s="172">
        <v>1E-3</v>
      </c>
      <c r="K23" s="83"/>
      <c r="L23" s="84"/>
      <c r="N23" s="173" t="s">
        <v>126</v>
      </c>
      <c r="O23" s="174"/>
      <c r="P23" s="175"/>
    </row>
    <row r="24" spans="1:18" ht="16.2">
      <c r="A24" s="412" t="s">
        <v>127</v>
      </c>
      <c r="B24" s="413"/>
      <c r="C24" s="413"/>
      <c r="D24" s="413"/>
      <c r="E24" s="413"/>
      <c r="F24" s="413"/>
      <c r="G24" s="413"/>
      <c r="H24" s="413"/>
      <c r="I24" s="413"/>
      <c r="J24" s="176">
        <f>L14</f>
        <v>3583.3330000000001</v>
      </c>
      <c r="K24" s="67" t="s">
        <v>128</v>
      </c>
      <c r="L24" s="177" t="s">
        <v>129</v>
      </c>
      <c r="N24" s="152" t="s">
        <v>10</v>
      </c>
      <c r="O24" s="132" t="s">
        <v>75</v>
      </c>
      <c r="P24" s="153" t="s">
        <v>114</v>
      </c>
      <c r="Q24" s="111" t="s">
        <v>115</v>
      </c>
      <c r="R24" s="111" t="s">
        <v>130</v>
      </c>
    </row>
    <row r="25" spans="1:18" ht="16.2">
      <c r="A25" s="414" t="s">
        <v>131</v>
      </c>
      <c r="B25" s="415"/>
      <c r="C25" s="415"/>
      <c r="D25" s="415"/>
      <c r="E25" s="415"/>
      <c r="F25" s="415"/>
      <c r="G25" s="415"/>
      <c r="H25" s="415"/>
      <c r="I25" s="415"/>
      <c r="J25" s="416"/>
      <c r="K25" s="67">
        <f>H9</f>
        <v>50</v>
      </c>
      <c r="L25" s="177">
        <f>H10</f>
        <v>5</v>
      </c>
      <c r="N25" s="157" t="s">
        <v>118</v>
      </c>
      <c r="O25" s="178">
        <f>Q25/R25</f>
        <v>1.2695984401641945E-4</v>
      </c>
      <c r="P25" s="159">
        <f>J58</f>
        <v>4.006547973532558</v>
      </c>
      <c r="Q25" s="160">
        <f>P25*1000</f>
        <v>4006.547973532558</v>
      </c>
      <c r="R25" s="8">
        <v>31557600</v>
      </c>
    </row>
    <row r="26" spans="1:18" ht="15" thickBot="1">
      <c r="A26" s="417" t="s">
        <v>132</v>
      </c>
      <c r="B26" s="418"/>
      <c r="C26" s="418"/>
      <c r="D26" s="418"/>
      <c r="E26" s="418"/>
      <c r="F26" s="418"/>
      <c r="G26" s="418"/>
      <c r="H26" s="418"/>
      <c r="I26" s="418"/>
      <c r="J26" s="179">
        <v>1</v>
      </c>
      <c r="K26" s="180"/>
      <c r="L26" s="181"/>
      <c r="N26" s="157" t="s">
        <v>119</v>
      </c>
      <c r="O26" s="178">
        <f>Q26/R26</f>
        <v>2.6511650001703229E-7</v>
      </c>
      <c r="P26" s="159">
        <f>K32/1000</f>
        <v>8.3664404609374993E-3</v>
      </c>
      <c r="Q26" s="160">
        <f>P26*1000</f>
        <v>8.3664404609374987</v>
      </c>
      <c r="R26" s="8">
        <v>31557600</v>
      </c>
    </row>
    <row r="27" spans="1:18" ht="15" thickBot="1">
      <c r="N27" s="157" t="s">
        <v>121</v>
      </c>
      <c r="O27" s="182">
        <f>Q27/R27</f>
        <v>2.6511650001703235E-8</v>
      </c>
      <c r="P27" s="159">
        <f>L32/1000</f>
        <v>8.3664404609375001E-4</v>
      </c>
      <c r="Q27" s="160">
        <f>P27*1000</f>
        <v>0.83664404609374998</v>
      </c>
      <c r="R27" s="8">
        <v>31557600</v>
      </c>
    </row>
    <row r="28" spans="1:18" ht="15" thickBot="1">
      <c r="A28" s="183" t="s">
        <v>133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N28" s="168" t="s">
        <v>124</v>
      </c>
      <c r="O28" s="184">
        <f>Q28/R28</f>
        <v>3.8087953204925834E-6</v>
      </c>
      <c r="P28" s="170">
        <f>F88</f>
        <v>0.12019643920597674</v>
      </c>
      <c r="Q28" s="160">
        <f>P28*1000</f>
        <v>120.19643920597674</v>
      </c>
      <c r="R28" s="8">
        <v>31557600</v>
      </c>
    </row>
    <row r="29" spans="1:18" ht="15" thickBot="1">
      <c r="A29" s="165" t="s">
        <v>134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4"/>
      <c r="N29" s="185"/>
      <c r="O29" s="83"/>
      <c r="P29" s="84"/>
    </row>
    <row r="30" spans="1:18">
      <c r="A30" s="167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4"/>
      <c r="N30" s="173" t="s">
        <v>90</v>
      </c>
      <c r="O30" s="174"/>
      <c r="P30" s="175"/>
      <c r="R30" s="186"/>
    </row>
    <row r="31" spans="1:18">
      <c r="A31" s="167"/>
      <c r="B31" s="83"/>
      <c r="C31" s="83"/>
      <c r="D31" s="83"/>
      <c r="E31" s="83"/>
      <c r="F31" s="83"/>
      <c r="G31" s="83"/>
      <c r="H31" s="83"/>
      <c r="I31" s="83"/>
      <c r="J31" s="83"/>
      <c r="K31" s="263" t="s">
        <v>122</v>
      </c>
      <c r="L31" s="187" t="s">
        <v>123</v>
      </c>
      <c r="N31" s="152" t="s">
        <v>10</v>
      </c>
      <c r="O31" s="132" t="s">
        <v>75</v>
      </c>
      <c r="P31" s="188" t="s">
        <v>114</v>
      </c>
      <c r="Q31" s="132" t="s">
        <v>5</v>
      </c>
    </row>
    <row r="32" spans="1:18">
      <c r="A32" s="167"/>
      <c r="B32" s="83"/>
      <c r="C32" s="83"/>
      <c r="D32" s="83"/>
      <c r="E32" s="83"/>
      <c r="F32" s="83"/>
      <c r="G32" s="83"/>
      <c r="H32" s="83"/>
      <c r="I32" s="83"/>
      <c r="J32" s="83"/>
      <c r="K32" s="189">
        <f>J33*J34*J35*K36*J37*J38</f>
        <v>8.3664404609374987</v>
      </c>
      <c r="L32" s="190">
        <f>J33*J34*J35*L36*J37*J38</f>
        <v>0.83664404609374998</v>
      </c>
      <c r="N32" s="157" t="s">
        <v>118</v>
      </c>
      <c r="O32" s="119">
        <f>O17+O25</f>
        <v>0.17381047035468636</v>
      </c>
      <c r="P32" s="191">
        <f>P25+P17</f>
        <v>93.627231060229747</v>
      </c>
      <c r="Q32" s="115">
        <f>P32/1000</f>
        <v>9.3627231060229743E-2</v>
      </c>
    </row>
    <row r="33" spans="1:18">
      <c r="A33" s="407" t="s">
        <v>125</v>
      </c>
      <c r="B33" s="408"/>
      <c r="C33" s="408"/>
      <c r="D33" s="408"/>
      <c r="E33" s="408"/>
      <c r="F33" s="408"/>
      <c r="G33" s="408"/>
      <c r="H33" s="408"/>
      <c r="I33" s="409"/>
      <c r="J33" s="192">
        <v>1E-3</v>
      </c>
      <c r="K33" s="83"/>
      <c r="L33" s="84"/>
      <c r="N33" s="157" t="s">
        <v>119</v>
      </c>
      <c r="O33" s="119">
        <f>O18+O26</f>
        <v>3.4748733872223922E-4</v>
      </c>
      <c r="P33" s="191">
        <f>P18+P26</f>
        <v>0.18753309046093752</v>
      </c>
      <c r="Q33" s="75">
        <f t="shared" ref="Q33:Q35" si="0">P33/1000</f>
        <v>1.8753309046093752E-4</v>
      </c>
      <c r="R33" t="s">
        <v>135</v>
      </c>
    </row>
    <row r="34" spans="1:18">
      <c r="A34" s="407" t="s">
        <v>136</v>
      </c>
      <c r="B34" s="408"/>
      <c r="C34" s="408"/>
      <c r="D34" s="408"/>
      <c r="E34" s="408"/>
      <c r="F34" s="408"/>
      <c r="G34" s="408"/>
      <c r="H34" s="408"/>
      <c r="I34" s="409"/>
      <c r="J34" s="109">
        <f>H4</f>
        <v>365</v>
      </c>
      <c r="K34" s="83"/>
      <c r="L34" s="84"/>
      <c r="N34" s="157" t="s">
        <v>121</v>
      </c>
      <c r="O34" s="119">
        <f>O19+O27</f>
        <v>3.4748733872223922E-5</v>
      </c>
      <c r="P34" s="191">
        <f>P19+P27</f>
        <v>1.8753309046093753E-2</v>
      </c>
      <c r="Q34" s="75">
        <f t="shared" si="0"/>
        <v>1.8753309046093754E-5</v>
      </c>
      <c r="R34" t="s">
        <v>135</v>
      </c>
    </row>
    <row r="35" spans="1:18" ht="17.399999999999999" thickBot="1">
      <c r="A35" s="407" t="s">
        <v>137</v>
      </c>
      <c r="B35" s="408"/>
      <c r="C35" s="408"/>
      <c r="D35" s="408"/>
      <c r="E35" s="408"/>
      <c r="F35" s="408"/>
      <c r="G35" s="408"/>
      <c r="H35" s="408"/>
      <c r="I35" s="409"/>
      <c r="J35" s="158">
        <f>J41</f>
        <v>10.66128125</v>
      </c>
      <c r="K35" s="83"/>
      <c r="L35" s="84"/>
      <c r="N35" s="168" t="s">
        <v>124</v>
      </c>
      <c r="O35" s="223">
        <f>O20+O28</f>
        <v>5.2143141106405898E-3</v>
      </c>
      <c r="P35" s="194">
        <f>P20+P28</f>
        <v>2.8088169318068923</v>
      </c>
      <c r="Q35" s="75">
        <f t="shared" si="0"/>
        <v>2.8088169318068925E-3</v>
      </c>
      <c r="R35" t="s">
        <v>135</v>
      </c>
    </row>
    <row r="36" spans="1:18" ht="16.8">
      <c r="A36" s="407" t="s">
        <v>138</v>
      </c>
      <c r="B36" s="408"/>
      <c r="C36" s="408"/>
      <c r="D36" s="408"/>
      <c r="E36" s="408"/>
      <c r="F36" s="408"/>
      <c r="G36" s="408"/>
      <c r="H36" s="408"/>
      <c r="I36" s="408"/>
      <c r="J36" s="409"/>
      <c r="K36" s="192">
        <f>K25</f>
        <v>50</v>
      </c>
      <c r="L36" s="195">
        <f>L25</f>
        <v>5</v>
      </c>
    </row>
    <row r="37" spans="1:18" ht="15.6">
      <c r="A37" s="407" t="s">
        <v>139</v>
      </c>
      <c r="B37" s="408"/>
      <c r="C37" s="408"/>
      <c r="D37" s="408"/>
      <c r="E37" s="408"/>
      <c r="F37" s="408"/>
      <c r="G37" s="408"/>
      <c r="H37" s="408"/>
      <c r="I37" s="409"/>
      <c r="J37" s="109">
        <f>H8</f>
        <v>4.2999999999999997E-2</v>
      </c>
      <c r="K37" s="83"/>
      <c r="L37" s="84"/>
      <c r="N37" s="196"/>
      <c r="O37" s="142"/>
      <c r="P37" s="142"/>
    </row>
    <row r="38" spans="1:18">
      <c r="A38" s="407" t="s">
        <v>140</v>
      </c>
      <c r="B38" s="408"/>
      <c r="C38" s="408"/>
      <c r="D38" s="408"/>
      <c r="E38" s="408"/>
      <c r="F38" s="408"/>
      <c r="G38" s="408"/>
      <c r="H38" s="408"/>
      <c r="I38" s="409"/>
      <c r="J38" s="172">
        <v>1</v>
      </c>
      <c r="K38" s="83"/>
      <c r="L38" s="84"/>
      <c r="N38" s="197"/>
      <c r="O38" s="198"/>
      <c r="P38" s="9"/>
      <c r="Q38" s="7"/>
      <c r="R38" s="7"/>
    </row>
    <row r="39" spans="1:18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83"/>
      <c r="L39" s="84"/>
      <c r="N39" s="201"/>
      <c r="O39" s="202"/>
      <c r="P39" s="142"/>
    </row>
    <row r="40" spans="1:18" ht="15.6">
      <c r="A40" s="419" t="s">
        <v>141</v>
      </c>
      <c r="B40" s="420"/>
      <c r="C40" s="420"/>
      <c r="D40" s="420"/>
      <c r="E40" s="420"/>
      <c r="F40" s="420"/>
      <c r="G40" s="420"/>
      <c r="H40" s="420"/>
      <c r="I40" s="420"/>
      <c r="J40" s="421"/>
      <c r="K40" s="83"/>
      <c r="L40" s="84"/>
      <c r="N40" s="203"/>
      <c r="O40" s="204"/>
      <c r="P40" s="107"/>
    </row>
    <row r="41" spans="1:18" ht="16.8">
      <c r="A41" s="419" t="s">
        <v>142</v>
      </c>
      <c r="B41" s="420"/>
      <c r="C41" s="420"/>
      <c r="D41" s="420"/>
      <c r="E41" s="420"/>
      <c r="F41" s="420"/>
      <c r="G41" s="420"/>
      <c r="H41" s="420"/>
      <c r="I41" s="421"/>
      <c r="J41" s="158">
        <f>3.14*(J42*J42)*(J43-(J43*J44))/4</f>
        <v>10.66128125</v>
      </c>
      <c r="K41" s="83"/>
      <c r="L41" s="84"/>
      <c r="N41" s="201"/>
      <c r="O41" s="202"/>
      <c r="P41" s="107"/>
    </row>
    <row r="42" spans="1:18">
      <c r="A42" s="407" t="s">
        <v>143</v>
      </c>
      <c r="B42" s="408"/>
      <c r="C42" s="408"/>
      <c r="D42" s="408"/>
      <c r="E42" s="408"/>
      <c r="F42" s="408"/>
      <c r="G42" s="408"/>
      <c r="H42" s="408"/>
      <c r="I42" s="409"/>
      <c r="J42" s="57">
        <f>D14</f>
        <v>2.5</v>
      </c>
      <c r="K42" s="83"/>
      <c r="L42" s="84"/>
      <c r="N42" s="9"/>
      <c r="O42" s="201"/>
      <c r="P42" s="107"/>
    </row>
    <row r="43" spans="1:18" ht="15.6">
      <c r="A43" s="407" t="s">
        <v>144</v>
      </c>
      <c r="B43" s="408"/>
      <c r="C43" s="408"/>
      <c r="D43" s="408"/>
      <c r="E43" s="408"/>
      <c r="F43" s="408"/>
      <c r="G43" s="408"/>
      <c r="H43" s="408"/>
      <c r="I43" s="409"/>
      <c r="J43" s="57">
        <f>C14</f>
        <v>10.865</v>
      </c>
      <c r="K43" s="83"/>
      <c r="L43" s="84"/>
      <c r="N43" s="196"/>
      <c r="O43" s="201"/>
      <c r="P43" s="107"/>
    </row>
    <row r="44" spans="1:18" ht="15" thickBot="1">
      <c r="A44" s="422" t="s">
        <v>145</v>
      </c>
      <c r="B44" s="423"/>
      <c r="C44" s="423"/>
      <c r="D44" s="423"/>
      <c r="E44" s="423"/>
      <c r="F44" s="423"/>
      <c r="G44" s="423"/>
      <c r="H44" s="423"/>
      <c r="I44" s="424"/>
      <c r="J44" s="301">
        <f>H5</f>
        <v>0.8</v>
      </c>
      <c r="K44" s="205"/>
      <c r="L44" s="206"/>
      <c r="N44" s="201"/>
      <c r="O44" s="107"/>
      <c r="P44" s="107"/>
    </row>
    <row r="45" spans="1:18" ht="15" thickBot="1">
      <c r="N45" s="201"/>
      <c r="O45" s="107"/>
      <c r="P45" s="107"/>
    </row>
    <row r="46" spans="1:18">
      <c r="A46" s="183" t="s">
        <v>235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4"/>
      <c r="N46" s="201"/>
      <c r="O46" s="107"/>
      <c r="P46" s="107"/>
    </row>
    <row r="47" spans="1:18">
      <c r="A47" s="165" t="s">
        <v>146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4"/>
      <c r="N47" s="201"/>
      <c r="O47" s="107"/>
      <c r="P47" s="107"/>
    </row>
    <row r="48" spans="1:18" ht="15" thickBot="1">
      <c r="A48" s="167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4"/>
      <c r="N48" s="9"/>
      <c r="O48" s="9"/>
      <c r="P48" s="9"/>
    </row>
    <row r="49" spans="1:15" ht="15" thickBot="1">
      <c r="A49" s="167"/>
      <c r="B49" s="207" t="s">
        <v>147</v>
      </c>
      <c r="C49" s="83"/>
      <c r="D49" s="83"/>
      <c r="E49" s="83"/>
      <c r="F49" s="83"/>
      <c r="G49" s="83"/>
      <c r="H49" s="83"/>
      <c r="I49" s="83"/>
      <c r="J49" s="208">
        <f>J51*J52*1</f>
        <v>89.620683086697184</v>
      </c>
      <c r="K49" s="83"/>
      <c r="L49" s="84"/>
      <c r="O49" t="s">
        <v>148</v>
      </c>
    </row>
    <row r="50" spans="1:15">
      <c r="A50" s="167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4"/>
    </row>
    <row r="51" spans="1:15" ht="16.2">
      <c r="A51" s="407" t="s">
        <v>127</v>
      </c>
      <c r="B51" s="408"/>
      <c r="C51" s="408"/>
      <c r="D51" s="408"/>
      <c r="E51" s="408"/>
      <c r="F51" s="408"/>
      <c r="G51" s="408"/>
      <c r="H51" s="408"/>
      <c r="I51" s="409"/>
      <c r="J51" s="209">
        <f>J24</f>
        <v>3583.3330000000001</v>
      </c>
      <c r="K51" s="83"/>
      <c r="L51" s="84"/>
    </row>
    <row r="52" spans="1:15" ht="16.8">
      <c r="A52" s="407" t="s">
        <v>149</v>
      </c>
      <c r="B52" s="408"/>
      <c r="C52" s="408"/>
      <c r="D52" s="408"/>
      <c r="E52" s="408"/>
      <c r="F52" s="408"/>
      <c r="G52" s="408"/>
      <c r="H52" s="408"/>
      <c r="I52" s="409"/>
      <c r="J52" s="158">
        <f>J69</f>
        <v>2.501042551353647E-2</v>
      </c>
      <c r="K52" s="83"/>
      <c r="L52" s="84"/>
    </row>
    <row r="53" spans="1:15" ht="15" thickBot="1">
      <c r="A53" s="428" t="s">
        <v>150</v>
      </c>
      <c r="B53" s="429"/>
      <c r="C53" s="429"/>
      <c r="D53" s="429"/>
      <c r="E53" s="429"/>
      <c r="F53" s="429"/>
      <c r="G53" s="429"/>
      <c r="H53" s="429"/>
      <c r="I53" s="430"/>
      <c r="J53" s="179">
        <v>1</v>
      </c>
      <c r="K53" s="205"/>
      <c r="L53" s="206"/>
    </row>
    <row r="54" spans="1:15" ht="15" thickBot="1"/>
    <row r="55" spans="1:15">
      <c r="A55" s="183" t="s">
        <v>236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4"/>
    </row>
    <row r="56" spans="1:15" ht="15.6">
      <c r="A56" s="165" t="s">
        <v>151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4"/>
    </row>
    <row r="57" spans="1:15" ht="15" thickBot="1">
      <c r="A57" s="16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4"/>
    </row>
    <row r="58" spans="1:15" ht="15" thickBot="1">
      <c r="A58" s="167"/>
      <c r="B58" s="83"/>
      <c r="C58" s="83"/>
      <c r="D58" s="83"/>
      <c r="E58" s="83"/>
      <c r="F58" s="83"/>
      <c r="G58" s="83"/>
      <c r="H58" s="83"/>
      <c r="I58" s="83"/>
      <c r="J58" s="210">
        <f>J60*J61*J62*J63*J64*J65</f>
        <v>4.006547973532558</v>
      </c>
      <c r="K58" s="83"/>
      <c r="L58" s="84"/>
    </row>
    <row r="59" spans="1:15">
      <c r="A59" s="167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4"/>
    </row>
    <row r="60" spans="1:15">
      <c r="A60" s="431" t="s">
        <v>136</v>
      </c>
      <c r="B60" s="432"/>
      <c r="C60" s="432"/>
      <c r="D60" s="432"/>
      <c r="E60" s="432"/>
      <c r="F60" s="432"/>
      <c r="G60" s="432"/>
      <c r="H60" s="432"/>
      <c r="I60" s="433"/>
      <c r="J60" s="109">
        <f>J34</f>
        <v>365</v>
      </c>
      <c r="K60" s="83"/>
      <c r="L60" s="84"/>
    </row>
    <row r="61" spans="1:15" ht="16.2">
      <c r="A61" s="431" t="s">
        <v>152</v>
      </c>
      <c r="B61" s="432"/>
      <c r="C61" s="432"/>
      <c r="D61" s="432"/>
      <c r="E61" s="432"/>
      <c r="F61" s="432"/>
      <c r="G61" s="432"/>
      <c r="H61" s="432"/>
      <c r="I61" s="433"/>
      <c r="J61" s="158">
        <f>J41</f>
        <v>10.66128125</v>
      </c>
      <c r="K61" s="83"/>
      <c r="L61" s="84"/>
    </row>
    <row r="62" spans="1:15" ht="16.2">
      <c r="A62" s="431" t="s">
        <v>153</v>
      </c>
      <c r="B62" s="432"/>
      <c r="C62" s="432"/>
      <c r="D62" s="432"/>
      <c r="E62" s="432"/>
      <c r="F62" s="432"/>
      <c r="G62" s="432"/>
      <c r="H62" s="432"/>
      <c r="I62" s="433"/>
      <c r="J62" s="158">
        <f>J69</f>
        <v>2.501042551353647E-2</v>
      </c>
      <c r="K62" s="83"/>
      <c r="L62" s="84"/>
    </row>
    <row r="63" spans="1:15" ht="15.6">
      <c r="A63" s="431" t="s">
        <v>139</v>
      </c>
      <c r="B63" s="432"/>
      <c r="C63" s="432"/>
      <c r="D63" s="432"/>
      <c r="E63" s="432"/>
      <c r="F63" s="432"/>
      <c r="G63" s="432"/>
      <c r="H63" s="432"/>
      <c r="I63" s="433"/>
      <c r="J63" s="172">
        <f>J37</f>
        <v>4.2999999999999997E-2</v>
      </c>
      <c r="K63" s="83"/>
      <c r="L63" s="84"/>
    </row>
    <row r="64" spans="1:15" ht="15.6">
      <c r="A64" s="431" t="s">
        <v>154</v>
      </c>
      <c r="B64" s="432"/>
      <c r="C64" s="432"/>
      <c r="D64" s="432"/>
      <c r="E64" s="432"/>
      <c r="F64" s="432"/>
      <c r="G64" s="432"/>
      <c r="H64" s="432"/>
      <c r="I64" s="433"/>
      <c r="J64" s="158">
        <f>J76</f>
        <v>0.95736720434422518</v>
      </c>
      <c r="K64" s="83"/>
      <c r="L64" s="84"/>
    </row>
    <row r="65" spans="1:12">
      <c r="A65" s="431" t="s">
        <v>155</v>
      </c>
      <c r="B65" s="432"/>
      <c r="C65" s="432"/>
      <c r="D65" s="432"/>
      <c r="E65" s="432"/>
      <c r="F65" s="432"/>
      <c r="G65" s="432"/>
      <c r="H65" s="432"/>
      <c r="I65" s="433"/>
      <c r="J65" s="172">
        <v>1</v>
      </c>
      <c r="K65" s="83"/>
      <c r="L65" s="84"/>
    </row>
    <row r="66" spans="1:12">
      <c r="A66" s="211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4"/>
    </row>
    <row r="67" spans="1:12" ht="15">
      <c r="A67" s="425" t="s">
        <v>237</v>
      </c>
      <c r="B67" s="434"/>
      <c r="C67" s="434"/>
      <c r="D67" s="434"/>
      <c r="E67" s="434"/>
      <c r="F67" s="434"/>
      <c r="G67" s="434"/>
      <c r="H67" s="434"/>
      <c r="I67" s="434"/>
      <c r="J67" s="435"/>
      <c r="K67" s="83"/>
      <c r="L67" s="84"/>
    </row>
    <row r="68" spans="1:12" ht="15" thickBot="1">
      <c r="A68" s="211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4"/>
    </row>
    <row r="69" spans="1:12" ht="15" thickBot="1">
      <c r="A69" s="212"/>
      <c r="B69" s="83"/>
      <c r="C69" s="83"/>
      <c r="D69" s="83"/>
      <c r="E69" s="83"/>
      <c r="F69" s="83"/>
      <c r="G69" s="83"/>
      <c r="H69" s="83"/>
      <c r="I69" s="83"/>
      <c r="J69" s="213">
        <f>(J71*J72)/(J73*J74)</f>
        <v>2.501042551353647E-2</v>
      </c>
      <c r="K69" s="83"/>
      <c r="L69" s="84"/>
    </row>
    <row r="70" spans="1:12">
      <c r="A70" s="21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4"/>
    </row>
    <row r="71" spans="1:12">
      <c r="A71" s="407" t="s">
        <v>156</v>
      </c>
      <c r="B71" s="408"/>
      <c r="C71" s="408"/>
      <c r="D71" s="408"/>
      <c r="E71" s="408"/>
      <c r="F71" s="408"/>
      <c r="G71" s="408"/>
      <c r="H71" s="408"/>
      <c r="I71" s="409"/>
      <c r="J71" s="109">
        <f>G14</f>
        <v>72</v>
      </c>
      <c r="K71" s="83"/>
      <c r="L71" s="84"/>
    </row>
    <row r="72" spans="1:12">
      <c r="A72" s="214" t="s">
        <v>157</v>
      </c>
      <c r="B72" s="172"/>
      <c r="C72" s="172"/>
      <c r="D72" s="172"/>
      <c r="E72" s="172"/>
      <c r="F72" s="172"/>
      <c r="G72" s="172"/>
      <c r="H72" s="172"/>
      <c r="I72" s="172"/>
      <c r="J72" s="57">
        <f>H6</f>
        <v>0.81</v>
      </c>
      <c r="K72" s="83"/>
      <c r="L72" s="84"/>
    </row>
    <row r="73" spans="1:12" ht="16.2">
      <c r="A73" s="407" t="s">
        <v>158</v>
      </c>
      <c r="B73" s="408"/>
      <c r="C73" s="408"/>
      <c r="D73" s="408"/>
      <c r="E73" s="408"/>
      <c r="F73" s="408"/>
      <c r="G73" s="408"/>
      <c r="H73" s="408"/>
      <c r="I73" s="409"/>
      <c r="J73" s="172">
        <v>8.3140000000000001</v>
      </c>
      <c r="K73" s="83"/>
      <c r="L73" s="84"/>
    </row>
    <row r="74" spans="1:12" ht="15.6">
      <c r="A74" s="407" t="s">
        <v>159</v>
      </c>
      <c r="B74" s="408"/>
      <c r="C74" s="408"/>
      <c r="D74" s="408"/>
      <c r="E74" s="408"/>
      <c r="F74" s="408"/>
      <c r="G74" s="408"/>
      <c r="H74" s="408"/>
      <c r="I74" s="409"/>
      <c r="J74" s="57">
        <f>H7</f>
        <v>280.47000000000003</v>
      </c>
      <c r="K74" s="83"/>
      <c r="L74" s="84"/>
    </row>
    <row r="75" spans="1:12" ht="16.2" thickBot="1">
      <c r="A75" s="425" t="s">
        <v>160</v>
      </c>
      <c r="B75" s="426"/>
      <c r="C75" s="426"/>
      <c r="D75" s="426"/>
      <c r="E75" s="426"/>
      <c r="F75" s="426"/>
      <c r="G75" s="426"/>
      <c r="H75" s="426"/>
      <c r="I75" s="427"/>
      <c r="J75" s="215"/>
      <c r="K75" s="83"/>
      <c r="L75" s="84"/>
    </row>
    <row r="76" spans="1:12" ht="16.2" thickBot="1">
      <c r="A76" s="439" t="s">
        <v>161</v>
      </c>
      <c r="B76" s="440"/>
      <c r="C76" s="440"/>
      <c r="D76" s="440"/>
      <c r="E76" s="440"/>
      <c r="F76" s="440"/>
      <c r="G76" s="440"/>
      <c r="H76" s="440"/>
      <c r="I76" s="441"/>
      <c r="J76" s="213">
        <f>1/(1+(J77*J78*(J79-(J79*J80))))</f>
        <v>0.95736720434422518</v>
      </c>
      <c r="K76" s="83"/>
      <c r="L76" s="84"/>
    </row>
    <row r="77" spans="1:12">
      <c r="A77" s="407" t="s">
        <v>162</v>
      </c>
      <c r="B77" s="408"/>
      <c r="C77" s="408"/>
      <c r="D77" s="408"/>
      <c r="E77" s="408"/>
      <c r="F77" s="408"/>
      <c r="G77" s="408"/>
      <c r="H77" s="408"/>
      <c r="I77" s="409"/>
      <c r="J77" s="216">
        <v>2.53E-2</v>
      </c>
      <c r="K77" s="83"/>
      <c r="L77" s="84"/>
    </row>
    <row r="78" spans="1:12">
      <c r="A78" s="214" t="s">
        <v>157</v>
      </c>
      <c r="B78" s="172"/>
      <c r="C78" s="172"/>
      <c r="D78" s="172"/>
      <c r="E78" s="172"/>
      <c r="F78" s="172"/>
      <c r="G78" s="172"/>
      <c r="H78" s="172"/>
      <c r="I78" s="172"/>
      <c r="J78" s="109">
        <f>J72</f>
        <v>0.81</v>
      </c>
      <c r="K78" s="83"/>
      <c r="L78" s="84"/>
    </row>
    <row r="79" spans="1:12" ht="15.6">
      <c r="A79" s="407" t="s">
        <v>144</v>
      </c>
      <c r="B79" s="408"/>
      <c r="C79" s="408"/>
      <c r="D79" s="408"/>
      <c r="E79" s="408"/>
      <c r="F79" s="408"/>
      <c r="G79" s="408"/>
      <c r="H79" s="408"/>
      <c r="I79" s="409"/>
      <c r="J79" s="172">
        <f>J43</f>
        <v>10.865</v>
      </c>
      <c r="K79" s="83"/>
      <c r="L79" s="84"/>
    </row>
    <row r="80" spans="1:12" ht="15" thickBot="1">
      <c r="A80" s="428" t="s">
        <v>163</v>
      </c>
      <c r="B80" s="429"/>
      <c r="C80" s="429"/>
      <c r="D80" s="429"/>
      <c r="E80" s="429"/>
      <c r="F80" s="429"/>
      <c r="G80" s="429"/>
      <c r="H80" s="429"/>
      <c r="I80" s="430"/>
      <c r="J80" s="179">
        <f>J44</f>
        <v>0.8</v>
      </c>
      <c r="K80" s="205"/>
      <c r="L80" s="206"/>
    </row>
    <row r="81" spans="1:16" ht="15" thickBot="1"/>
    <row r="82" spans="1:16">
      <c r="A82" s="183" t="s">
        <v>164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4"/>
    </row>
    <row r="83" spans="1:16">
      <c r="A83" s="211" t="s">
        <v>165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4"/>
    </row>
    <row r="84" spans="1:16">
      <c r="A84" s="211" t="s">
        <v>166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4"/>
    </row>
    <row r="85" spans="1:16">
      <c r="A85" s="211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4"/>
    </row>
    <row r="86" spans="1:16">
      <c r="A86" s="211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4"/>
    </row>
    <row r="87" spans="1:16">
      <c r="A87" s="442" t="s">
        <v>167</v>
      </c>
      <c r="B87" s="443" t="s">
        <v>168</v>
      </c>
      <c r="C87" s="444"/>
      <c r="D87" s="445"/>
      <c r="E87" s="217" t="s">
        <v>169</v>
      </c>
      <c r="F87" s="217" t="s">
        <v>170</v>
      </c>
      <c r="G87" s="83"/>
      <c r="H87" s="83"/>
      <c r="I87" s="83"/>
      <c r="J87" s="83"/>
      <c r="K87" s="83"/>
      <c r="L87" s="83"/>
      <c r="M87" s="83"/>
      <c r="N87" s="83"/>
      <c r="O87" s="83"/>
      <c r="P87" s="84"/>
    </row>
    <row r="88" spans="1:16">
      <c r="A88" s="442"/>
      <c r="B88" s="446" t="s">
        <v>114</v>
      </c>
      <c r="C88" s="447"/>
      <c r="D88" s="448"/>
      <c r="E88" s="171">
        <f>A89*J49</f>
        <v>2.6886204926009154</v>
      </c>
      <c r="F88" s="218">
        <f>J58*A89</f>
        <v>0.12019643920597674</v>
      </c>
      <c r="G88" s="83"/>
      <c r="H88" s="83"/>
      <c r="I88" s="83"/>
      <c r="J88" s="83"/>
      <c r="K88" s="83"/>
      <c r="L88" s="83"/>
      <c r="M88" s="83"/>
      <c r="N88" s="83"/>
      <c r="O88" s="83"/>
      <c r="P88" s="84"/>
    </row>
    <row r="89" spans="1:16" ht="15" thickBot="1">
      <c r="A89" s="219">
        <v>0.03</v>
      </c>
      <c r="B89" s="436"/>
      <c r="C89" s="437"/>
      <c r="D89" s="438"/>
      <c r="E89" s="220"/>
      <c r="F89" s="220"/>
      <c r="G89" s="205"/>
      <c r="H89" s="205"/>
      <c r="I89" s="205"/>
      <c r="J89" s="205"/>
      <c r="K89" s="205"/>
      <c r="L89" s="205"/>
      <c r="M89" s="205"/>
      <c r="N89" s="205"/>
      <c r="O89" s="205"/>
      <c r="P89" s="206"/>
    </row>
    <row r="90" spans="1:16">
      <c r="B90"/>
      <c r="C90"/>
    </row>
    <row r="91" spans="1:16">
      <c r="A91"/>
    </row>
    <row r="92" spans="1:16">
      <c r="A92"/>
    </row>
  </sheetData>
  <mergeCells count="46">
    <mergeCell ref="A25:J25"/>
    <mergeCell ref="A1:G1"/>
    <mergeCell ref="A2:G2"/>
    <mergeCell ref="A3:G3"/>
    <mergeCell ref="A4:G4"/>
    <mergeCell ref="A5:G5"/>
    <mergeCell ref="A6:G6"/>
    <mergeCell ref="A7:G7"/>
    <mergeCell ref="A8:G8"/>
    <mergeCell ref="A17:B17"/>
    <mergeCell ref="A23:I23"/>
    <mergeCell ref="A24:I24"/>
    <mergeCell ref="A44:I44"/>
    <mergeCell ref="A26:I26"/>
    <mergeCell ref="A33:I33"/>
    <mergeCell ref="A34:I34"/>
    <mergeCell ref="A35:I35"/>
    <mergeCell ref="A36:J36"/>
    <mergeCell ref="A37:I37"/>
    <mergeCell ref="A38:I38"/>
    <mergeCell ref="A40:J40"/>
    <mergeCell ref="A41:I41"/>
    <mergeCell ref="A42:I42"/>
    <mergeCell ref="A43:I43"/>
    <mergeCell ref="A73:I73"/>
    <mergeCell ref="A51:I51"/>
    <mergeCell ref="A52:I52"/>
    <mergeCell ref="A53:I53"/>
    <mergeCell ref="A60:I60"/>
    <mergeCell ref="A61:I61"/>
    <mergeCell ref="A62:I62"/>
    <mergeCell ref="A63:I63"/>
    <mergeCell ref="A64:I64"/>
    <mergeCell ref="A65:I65"/>
    <mergeCell ref="A67:J67"/>
    <mergeCell ref="A71:I71"/>
    <mergeCell ref="A87:A88"/>
    <mergeCell ref="B87:D87"/>
    <mergeCell ref="B88:D88"/>
    <mergeCell ref="B89:D89"/>
    <mergeCell ref="A74:I74"/>
    <mergeCell ref="A75:I75"/>
    <mergeCell ref="A76:I76"/>
    <mergeCell ref="A77:I77"/>
    <mergeCell ref="A79:I79"/>
    <mergeCell ref="A80:I8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12</vt:i4>
      </vt:variant>
      <vt:variant>
        <vt:lpstr>Nimega vahemikud</vt:lpstr>
      </vt:variant>
      <vt:variant>
        <vt:i4>12</vt:i4>
      </vt:variant>
    </vt:vector>
  </HeadingPairs>
  <TitlesOfParts>
    <vt:vector size="24" baseType="lpstr">
      <vt:lpstr>Algandmed</vt:lpstr>
      <vt:lpstr>K1 Gaasi ja vedelkütusekatlad</vt:lpstr>
      <vt:lpstr>K2 Gaasi ja vedelkütusekatl</vt:lpstr>
      <vt:lpstr>K3 Tahkekütusekatel</vt:lpstr>
      <vt:lpstr>Kiirused</vt:lpstr>
      <vt:lpstr>Mahuti PKÕ</vt:lpstr>
      <vt:lpstr>Mahuti KKÕ</vt:lpstr>
      <vt:lpstr>Mahuti DK</vt:lpstr>
      <vt:lpstr>Mahuti RKÕ</vt:lpstr>
      <vt:lpstr>Mahutid koond</vt:lpstr>
      <vt:lpstr>Koond</vt:lpstr>
      <vt:lpstr>Naabrid ja koosmõju</vt:lpstr>
      <vt:lpstr>'Mahuti DK'!para3lg3</vt:lpstr>
      <vt:lpstr>'Mahuti KKÕ'!para3lg3</vt:lpstr>
      <vt:lpstr>'Mahuti PKÕ'!para3lg3</vt:lpstr>
      <vt:lpstr>'Mahuti RKÕ'!para3lg3</vt:lpstr>
      <vt:lpstr>'Mahuti DK'!para3lg4</vt:lpstr>
      <vt:lpstr>'Mahuti KKÕ'!para3lg4</vt:lpstr>
      <vt:lpstr>'Mahuti PKÕ'!para3lg4</vt:lpstr>
      <vt:lpstr>'Mahuti RKÕ'!para3lg4</vt:lpstr>
      <vt:lpstr>'Mahuti DK'!para8lg2</vt:lpstr>
      <vt:lpstr>'Mahuti KKÕ'!para8lg2</vt:lpstr>
      <vt:lpstr>'Mahuti PKÕ'!para8lg2</vt:lpstr>
      <vt:lpstr>'Mahuti RKÕ'!para8lg2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</dc:creator>
  <cp:lastModifiedBy>Ain</cp:lastModifiedBy>
  <dcterms:created xsi:type="dcterms:W3CDTF">2022-07-18T18:13:40Z</dcterms:created>
  <dcterms:modified xsi:type="dcterms:W3CDTF">2022-09-23T10:37:27Z</dcterms:modified>
</cp:coreProperties>
</file>